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2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heskalynn/Dropbox (Media Services)/Public Information/Digital Communications/Procurement/Web/NYSPro Migration Documents/State Procurement Council/SPC Meetings/2013/2013_Nov-26_MeetingDocs/"/>
    </mc:Choice>
  </mc:AlternateContent>
  <xr:revisionPtr revIDLastSave="0" documentId="13_ncr:1_{A0B030A5-888B-C741-A202-8E71638A735C}" xr6:coauthVersionLast="40" xr6:coauthVersionMax="40" xr10:uidLastSave="{00000000-0000-0000-0000-000000000000}"/>
  <bookViews>
    <workbookView xWindow="480" yWindow="460" windowWidth="14620" windowHeight="92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content" localSheetId="0">Sheet1!#REF!</definedName>
    <definedName name="_xlnm.Print_Area" localSheetId="0">Sheet1!$A$1:$U$45</definedName>
    <definedName name="_xlnm.Print_Titles" localSheetId="0">Sheet1!$1:$1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1" l="1"/>
  <c r="E14" i="1"/>
  <c r="E13" i="1"/>
  <c r="E12" i="1"/>
  <c r="E8" i="1"/>
  <c r="E9" i="1"/>
  <c r="E10" i="1"/>
  <c r="E11" i="1"/>
  <c r="E7" i="1"/>
  <c r="E6" i="1"/>
  <c r="E5" i="1"/>
  <c r="E4" i="1"/>
  <c r="E3" i="1"/>
  <c r="E2" i="1"/>
  <c r="I19" i="1" l="1"/>
  <c r="I18" i="1"/>
  <c r="I17" i="1"/>
  <c r="I16" i="1"/>
  <c r="I15" i="1"/>
  <c r="I14" i="1" l="1"/>
  <c r="I13" i="1"/>
  <c r="I12" i="1"/>
  <c r="I11" i="1"/>
  <c r="I10" i="1"/>
  <c r="I9" i="1"/>
  <c r="N15" i="1"/>
  <c r="N14" i="1"/>
  <c r="N13" i="1"/>
  <c r="N12" i="1"/>
  <c r="N11" i="1"/>
  <c r="N10" i="1"/>
  <c r="N9" i="1"/>
  <c r="N8" i="1"/>
  <c r="N6" i="1"/>
  <c r="N34" i="1"/>
  <c r="N30" i="1"/>
  <c r="N24" i="1"/>
  <c r="N36" i="1"/>
  <c r="N28" i="1"/>
  <c r="N32" i="1"/>
  <c r="N22" i="1"/>
  <c r="N26" i="1"/>
  <c r="N38" i="1"/>
  <c r="N35" i="1"/>
  <c r="N25" i="1"/>
  <c r="O22" i="1" l="1"/>
  <c r="O24" i="1"/>
  <c r="O25" i="1"/>
  <c r="O26" i="1"/>
  <c r="O28" i="1"/>
  <c r="O30" i="1"/>
  <c r="O32" i="1"/>
  <c r="O34" i="1"/>
  <c r="O35" i="1"/>
  <c r="O36" i="1"/>
  <c r="O38" i="1"/>
  <c r="T23" i="1"/>
  <c r="T25" i="1"/>
  <c r="T27" i="1"/>
  <c r="T35" i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T41" i="1"/>
  <c r="U41" i="1" s="1"/>
  <c r="T40" i="1"/>
  <c r="T34" i="1"/>
  <c r="T33" i="1"/>
  <c r="T31" i="1"/>
  <c r="K39" i="1" l="1"/>
  <c r="K41" i="1"/>
  <c r="K43" i="1"/>
  <c r="K45" i="1"/>
  <c r="K21" i="1"/>
  <c r="K23" i="1"/>
  <c r="K25" i="1"/>
  <c r="K27" i="1"/>
  <c r="K29" i="1"/>
  <c r="K31" i="1"/>
  <c r="K33" i="1"/>
  <c r="K35" i="1"/>
  <c r="K37" i="1"/>
  <c r="P32" i="1"/>
  <c r="K32" i="1"/>
  <c r="K40" i="1"/>
  <c r="K42" i="1"/>
  <c r="K44" i="1"/>
  <c r="K20" i="1"/>
  <c r="K22" i="1"/>
  <c r="K24" i="1"/>
  <c r="K26" i="1"/>
  <c r="K28" i="1"/>
  <c r="K30" i="1"/>
  <c r="K34" i="1"/>
  <c r="K36" i="1"/>
  <c r="K38" i="1"/>
  <c r="P34" i="1"/>
  <c r="P26" i="1"/>
  <c r="U35" i="1"/>
  <c r="U31" i="1"/>
  <c r="P38" i="1"/>
  <c r="P25" i="1"/>
  <c r="U34" i="1"/>
  <c r="U33" i="1"/>
  <c r="U40" i="1"/>
  <c r="U25" i="1"/>
  <c r="P36" i="1"/>
  <c r="P30" i="1"/>
  <c r="P24" i="1"/>
  <c r="U27" i="1"/>
  <c r="U23" i="1"/>
  <c r="P35" i="1"/>
  <c r="P28" i="1"/>
  <c r="P22" i="1"/>
  <c r="J16" i="1"/>
  <c r="T16" i="1"/>
  <c r="J15" i="1"/>
  <c r="O15" i="1"/>
  <c r="J14" i="1"/>
  <c r="O14" i="1"/>
  <c r="T14" i="1"/>
  <c r="J13" i="1"/>
  <c r="O13" i="1"/>
  <c r="J12" i="1"/>
  <c r="O12" i="1"/>
  <c r="T12" i="1"/>
  <c r="J11" i="1"/>
  <c r="O11" i="1"/>
  <c r="J10" i="1"/>
  <c r="O10" i="1"/>
  <c r="T10" i="1"/>
  <c r="J9" i="1"/>
  <c r="O9" i="1"/>
  <c r="I8" i="1"/>
  <c r="I7" i="1"/>
  <c r="I5" i="1"/>
  <c r="N7" i="1"/>
  <c r="I6" i="1"/>
  <c r="N5" i="1"/>
  <c r="K10" i="1" l="1"/>
  <c r="K14" i="1"/>
  <c r="K9" i="1"/>
  <c r="K13" i="1"/>
  <c r="K16" i="1"/>
  <c r="P9" i="1"/>
  <c r="P10" i="1"/>
  <c r="K11" i="1"/>
  <c r="K12" i="1"/>
  <c r="K15" i="1"/>
  <c r="U16" i="1"/>
  <c r="U14" i="1"/>
  <c r="P15" i="1"/>
  <c r="U12" i="1"/>
  <c r="P13" i="1"/>
  <c r="P14" i="1"/>
  <c r="U10" i="1"/>
  <c r="P11" i="1"/>
  <c r="P12" i="1"/>
  <c r="J6" i="1"/>
  <c r="O6" i="1"/>
  <c r="T6" i="1"/>
  <c r="K6" i="1" l="1"/>
  <c r="U6" i="1"/>
  <c r="P6" i="1"/>
  <c r="T4" i="1"/>
  <c r="T3" i="1"/>
  <c r="T2" i="1"/>
  <c r="T18" i="1"/>
  <c r="T8" i="1"/>
  <c r="I4" i="1" l="1"/>
  <c r="J4" i="1" s="1"/>
  <c r="N4" i="1"/>
  <c r="O4" i="1" s="1"/>
  <c r="K4" i="1" l="1"/>
  <c r="P4" i="1"/>
  <c r="U4" i="1"/>
  <c r="I3" i="1"/>
  <c r="J3" i="1" s="1"/>
  <c r="N3" i="1"/>
  <c r="O3" i="1" s="1"/>
  <c r="I2" i="1"/>
  <c r="J2" i="1" s="1"/>
  <c r="N2" i="1"/>
  <c r="O2" i="1" s="1"/>
  <c r="J5" i="1"/>
  <c r="J19" i="1"/>
  <c r="J18" i="1"/>
  <c r="J17" i="1"/>
  <c r="J8" i="1"/>
  <c r="J7" i="1"/>
  <c r="O5" i="1"/>
  <c r="P5" i="1" s="1"/>
  <c r="O8" i="1"/>
  <c r="O7" i="1"/>
  <c r="K8" i="1" l="1"/>
  <c r="K18" i="1"/>
  <c r="K3" i="1"/>
  <c r="K7" i="1"/>
  <c r="K17" i="1"/>
  <c r="K19" i="1"/>
  <c r="K5" i="1"/>
  <c r="K2" i="1"/>
  <c r="P3" i="1"/>
  <c r="P2" i="1"/>
  <c r="U18" i="1"/>
  <c r="U3" i="1"/>
  <c r="U2" i="1"/>
  <c r="P7" i="1"/>
  <c r="U8" i="1"/>
  <c r="P8" i="1"/>
</calcChain>
</file>

<file path=xl/sharedStrings.xml><?xml version="1.0" encoding="utf-8"?>
<sst xmlns="http://schemas.openxmlformats.org/spreadsheetml/2006/main" count="323" uniqueCount="240">
  <si>
    <t>MFN #</t>
  </si>
  <si>
    <t>Description</t>
  </si>
  <si>
    <t>NYSPSP
Case Price</t>
  </si>
  <si>
    <t>GSA 
Case 
Price</t>
  </si>
  <si>
    <t>Dip-card 03</t>
  </si>
  <si>
    <t>150.3/303xx</t>
  </si>
  <si>
    <t>150.5/305xx</t>
  </si>
  <si>
    <t>150.4/304xx</t>
  </si>
  <si>
    <t>Dip-card 04</t>
  </si>
  <si>
    <t>IOWA DOC  
Case 
Price</t>
  </si>
  <si>
    <t>GSA 
Price per Each</t>
  </si>
  <si>
    <t>IOWA  
Price per Each</t>
  </si>
  <si>
    <t>NIB 924  NYSPSP #     (If different than MFN #</t>
  </si>
  <si>
    <t>Dip-card 05</t>
  </si>
  <si>
    <t>150.5AT</t>
  </si>
  <si>
    <t>150.6/306xx</t>
  </si>
  <si>
    <t>306xx</t>
  </si>
  <si>
    <t>150.6AT</t>
  </si>
  <si>
    <t>305xx-3</t>
  </si>
  <si>
    <t>306xx-3</t>
  </si>
  <si>
    <t>150.6AT/306xx-3</t>
  </si>
  <si>
    <t>150.5AT/305xx-3</t>
  </si>
  <si>
    <t>150.7/307xx</t>
  </si>
  <si>
    <t>Dip-card 07</t>
  </si>
  <si>
    <t>Dip-card 06</t>
  </si>
  <si>
    <t>Dip-card 06at</t>
  </si>
  <si>
    <t>Dip-card 05at</t>
  </si>
  <si>
    <t>150.7AT</t>
  </si>
  <si>
    <t>Dip-card 07at</t>
  </si>
  <si>
    <t>150.7AT/307xx-3</t>
  </si>
  <si>
    <t>150.8/308xx</t>
  </si>
  <si>
    <t>150.8AT/308xx-3</t>
  </si>
  <si>
    <t>150.8AT</t>
  </si>
  <si>
    <t>150.9/309xx</t>
  </si>
  <si>
    <t>150.9AT/309xx-3</t>
  </si>
  <si>
    <t>Dip-card 08</t>
  </si>
  <si>
    <t>Dip-card 08at</t>
  </si>
  <si>
    <t>150.9AT</t>
  </si>
  <si>
    <t>150.10/310xx</t>
  </si>
  <si>
    <t>Dip-card 09</t>
  </si>
  <si>
    <t>Dip-card 09at</t>
  </si>
  <si>
    <t>Dip-card 10</t>
  </si>
  <si>
    <t>150.10AT</t>
  </si>
  <si>
    <t>150.10AT/310xx-3</t>
  </si>
  <si>
    <t>150.10</t>
  </si>
  <si>
    <t>150.11/311xx</t>
  </si>
  <si>
    <t>150.11AT/311xx-3</t>
  </si>
  <si>
    <t>150.11</t>
  </si>
  <si>
    <t>150.11AT</t>
  </si>
  <si>
    <t>Dip-card 11</t>
  </si>
  <si>
    <t>Dip-card 11at</t>
  </si>
  <si>
    <t>Dip-card 10at</t>
  </si>
  <si>
    <t>150.12/312xx</t>
  </si>
  <si>
    <t>150.12AT/312xx-3</t>
  </si>
  <si>
    <t>150.12</t>
  </si>
  <si>
    <t>150.12AT</t>
  </si>
  <si>
    <t>Dip-card 12</t>
  </si>
  <si>
    <t>Dip-card 12at</t>
  </si>
  <si>
    <t>StatCup 03</t>
  </si>
  <si>
    <t>StatCup 04</t>
  </si>
  <si>
    <t>StatCup 05</t>
  </si>
  <si>
    <t>StatCup 05at</t>
  </si>
  <si>
    <t>StatCup 06</t>
  </si>
  <si>
    <t>StatCup 06at</t>
  </si>
  <si>
    <t>StatCup 07</t>
  </si>
  <si>
    <t>StatCup 07at</t>
  </si>
  <si>
    <t>StatCup 08</t>
  </si>
  <si>
    <t>StatCup 08at</t>
  </si>
  <si>
    <t>StatCup 09</t>
  </si>
  <si>
    <t>StatCup 09at</t>
  </si>
  <si>
    <t>StatCup 10</t>
  </si>
  <si>
    <t>StatCup 10at</t>
  </si>
  <si>
    <t>StatCup 11</t>
  </si>
  <si>
    <t>StatCup 11at</t>
  </si>
  <si>
    <t>StatCup 12</t>
  </si>
  <si>
    <t>151.5AT</t>
  </si>
  <si>
    <t>151.6AT</t>
  </si>
  <si>
    <t>151.7AT</t>
  </si>
  <si>
    <t>151.8AT</t>
  </si>
  <si>
    <t>151.9AT</t>
  </si>
  <si>
    <t>151.10</t>
  </si>
  <si>
    <t>151.10AT</t>
  </si>
  <si>
    <t>151.11AT</t>
  </si>
  <si>
    <t>153.8/308xx</t>
  </si>
  <si>
    <t>153.10</t>
  </si>
  <si>
    <t>SalivaScan4</t>
  </si>
  <si>
    <t>SalivaScan5</t>
  </si>
  <si>
    <t>SalivaScan6</t>
  </si>
  <si>
    <t>SalivaScan8</t>
  </si>
  <si>
    <t>StatCup 04at</t>
  </si>
  <si>
    <t>StatCup 03at</t>
  </si>
  <si>
    <t>153.6+ALC</t>
  </si>
  <si>
    <t>SalivaScan6ALC</t>
  </si>
  <si>
    <t>SalivaScan9ALC</t>
  </si>
  <si>
    <t>153.9+ALC</t>
  </si>
  <si>
    <t>153.10/810xx</t>
  </si>
  <si>
    <t>153.4/804xx</t>
  </si>
  <si>
    <t>153.5/805xx</t>
  </si>
  <si>
    <t>153.6/806xx</t>
  </si>
  <si>
    <t>C4185*001</t>
  </si>
  <si>
    <t>C4186*001</t>
  </si>
  <si>
    <t>804xx</t>
  </si>
  <si>
    <t>805xx</t>
  </si>
  <si>
    <t>806xx</t>
  </si>
  <si>
    <t>806xx-A</t>
  </si>
  <si>
    <t>808xx</t>
  </si>
  <si>
    <t>809xx-A</t>
  </si>
  <si>
    <t>810xx</t>
  </si>
  <si>
    <t>151.3/703xx</t>
  </si>
  <si>
    <t>151.4/704xx</t>
  </si>
  <si>
    <t>151.3AT/703xx-3</t>
  </si>
  <si>
    <t>151.4AT/704xx-3</t>
  </si>
  <si>
    <t>151.5/705xx</t>
  </si>
  <si>
    <t>151.5AT/705xx-3</t>
  </si>
  <si>
    <t>151.6/706xx</t>
  </si>
  <si>
    <t>151.7/707xx</t>
  </si>
  <si>
    <t>151.7AT/707xx-3</t>
  </si>
  <si>
    <t>151.8/708xx</t>
  </si>
  <si>
    <t>151.9/709xx</t>
  </si>
  <si>
    <t>151.9AT/709xx-3</t>
  </si>
  <si>
    <t>151.10/710xx</t>
  </si>
  <si>
    <t>151.10AT/710xx-3</t>
  </si>
  <si>
    <t>151.11/711xx</t>
  </si>
  <si>
    <t>151.11/711xx-3</t>
  </si>
  <si>
    <t>151.12/712xx</t>
  </si>
  <si>
    <t>151.8AT/708xx-3</t>
  </si>
  <si>
    <t>151.6AT/706xx-3</t>
  </si>
  <si>
    <t>C4150*004'n'5</t>
  </si>
  <si>
    <t>C4150*001'n'2</t>
  </si>
  <si>
    <t>C4156*001</t>
  </si>
  <si>
    <t>151.4AT</t>
  </si>
  <si>
    <t>151.3AT</t>
  </si>
  <si>
    <t>C4155*001'n'2</t>
  </si>
  <si>
    <t>C4134*001'n'2'n'3</t>
  </si>
  <si>
    <t>C4153*001'thru'04</t>
  </si>
  <si>
    <t>C4152*001'n'2</t>
  </si>
  <si>
    <t>ASC-DUD-454</t>
  </si>
  <si>
    <t>ASC-DUD-5104</t>
  </si>
  <si>
    <t>ASC-DUD-2124</t>
  </si>
  <si>
    <t>ASC-CUP-0006</t>
  </si>
  <si>
    <t>ASC-CUP-0004</t>
  </si>
  <si>
    <t>ASC-CUP-0009</t>
  </si>
  <si>
    <t>ASC-CUP-0007</t>
  </si>
  <si>
    <t>ASC-CUP-0011</t>
  </si>
  <si>
    <t>ASC-CUP-0005</t>
  </si>
  <si>
    <t>ASC-CUO-0008</t>
  </si>
  <si>
    <t>ASC-CUP-0010</t>
  </si>
  <si>
    <t>C4139*004</t>
  </si>
  <si>
    <t>C4136*001,2,3</t>
  </si>
  <si>
    <t>C4137*003-008</t>
  </si>
  <si>
    <t>C4138*001-008</t>
  </si>
  <si>
    <t>C4133*001-004</t>
  </si>
  <si>
    <t>C4140*001-003</t>
  </si>
  <si>
    <t>C4141*001-003</t>
  </si>
  <si>
    <t>C4142*001-005</t>
  </si>
  <si>
    <t>C4143*001-004</t>
  </si>
  <si>
    <t>C4144*001-003</t>
  </si>
  <si>
    <t>GSAonline# (If different than MFN #</t>
  </si>
  <si>
    <t>307xx</t>
  </si>
  <si>
    <t>303xx</t>
  </si>
  <si>
    <t>304xx</t>
  </si>
  <si>
    <t>1305xx</t>
  </si>
  <si>
    <t>307xx-3</t>
  </si>
  <si>
    <t>308xx</t>
  </si>
  <si>
    <t>308xx-3</t>
  </si>
  <si>
    <t>309xx</t>
  </si>
  <si>
    <t>309xx-3</t>
  </si>
  <si>
    <t>310xx</t>
  </si>
  <si>
    <t>310xx-3</t>
  </si>
  <si>
    <t>311xx</t>
  </si>
  <si>
    <t>311xx-3</t>
  </si>
  <si>
    <t>312xx</t>
  </si>
  <si>
    <t>312xx-3</t>
  </si>
  <si>
    <t>IOWA DOC # (If different than MFN #)</t>
  </si>
  <si>
    <r>
      <t>IOWA DOC 
Case</t>
    </r>
    <r>
      <rPr>
        <b/>
        <sz val="8"/>
        <color theme="1"/>
        <rFont val="Calibri"/>
        <family val="2"/>
        <scheme val="minor"/>
      </rPr>
      <t xml:space="preserve"> Quantity</t>
    </r>
  </si>
  <si>
    <t>NYSID Case Quantity</t>
  </si>
  <si>
    <t>NYSID
Price 
per Each</t>
  </si>
  <si>
    <t>% Dif. NYSID NYSPSP</t>
  </si>
  <si>
    <t>% Dif. GSA NYSPSP</t>
  </si>
  <si>
    <t>% Dif. Iowa NYSPSP</t>
  </si>
  <si>
    <t>NYSPSP Item #</t>
  </si>
  <si>
    <t>Type &amp; Size</t>
  </si>
  <si>
    <t>Purchase Unit Quantity</t>
  </si>
  <si>
    <t>Purchase Unit Of Measure</t>
  </si>
  <si>
    <t>Price Per Case</t>
  </si>
  <si>
    <t>Price Per Each</t>
  </si>
  <si>
    <t>DrugCheck Dip 3</t>
  </si>
  <si>
    <t>Case</t>
  </si>
  <si>
    <t>DrugCheck Dip 4</t>
  </si>
  <si>
    <t>DrugCheck Dip 5</t>
  </si>
  <si>
    <t>DrugCheck Dip 5+AT</t>
  </si>
  <si>
    <t>DrugCheck Dip 6</t>
  </si>
  <si>
    <t>DrugCheck Dip 6+AT</t>
  </si>
  <si>
    <t>DrugCheck Dip 7</t>
  </si>
  <si>
    <t>DrugCheck Dip 7+AT</t>
  </si>
  <si>
    <t>DrugCheck Dip 8</t>
  </si>
  <si>
    <t>DrugCheck Dip 8+AT</t>
  </si>
  <si>
    <t>DrugCheck Dip 9</t>
  </si>
  <si>
    <t>DrugCheck Dip 9+AT</t>
  </si>
  <si>
    <t>DrugCheck Dip 10</t>
  </si>
  <si>
    <t>DrugCheck Dip 10+AT</t>
  </si>
  <si>
    <t>DrugCheck Dip 11</t>
  </si>
  <si>
    <t>DrugCheck Dip 11+AT</t>
  </si>
  <si>
    <t>DrugCheck Dip 12</t>
  </si>
  <si>
    <t>DrugCheck Dip 12+AT</t>
  </si>
  <si>
    <t>NxScan Cup 3</t>
  </si>
  <si>
    <t>NxScan Cup 3+ AT</t>
  </si>
  <si>
    <t>NxScan Cup 4</t>
  </si>
  <si>
    <t>NxScan Cup 4+AT</t>
  </si>
  <si>
    <t>NxScan Cup 5</t>
  </si>
  <si>
    <t>NxScan Cup 5+AT</t>
  </si>
  <si>
    <t>NxScan Cup 6</t>
  </si>
  <si>
    <t>NxScan Cup 6+AT</t>
  </si>
  <si>
    <t>NxScan Cup 7</t>
  </si>
  <si>
    <t>NxScan Cup 7+AT</t>
  </si>
  <si>
    <t>NxScan Cup 8</t>
  </si>
  <si>
    <t>NxScan Cup 8+AT</t>
  </si>
  <si>
    <t>NxScan Cup 9</t>
  </si>
  <si>
    <t>NxScan Cup 9+AT</t>
  </si>
  <si>
    <t>NxScan Cup 10</t>
  </si>
  <si>
    <t>NxScan Cup 10+AT</t>
  </si>
  <si>
    <t>NxScan Cup 11</t>
  </si>
  <si>
    <t>NxScan Cup 11+AT</t>
  </si>
  <si>
    <t>NxScan Cup 12</t>
  </si>
  <si>
    <t>SalivaScan 4</t>
  </si>
  <si>
    <t>SalivaScan 5</t>
  </si>
  <si>
    <t>SalivaScan 6</t>
  </si>
  <si>
    <t>153.6ALC</t>
  </si>
  <si>
    <t>SalivaScan 6+ALC</t>
  </si>
  <si>
    <t>SalivaScan 8</t>
  </si>
  <si>
    <t>153.9ALC</t>
  </si>
  <si>
    <t>SalivaScan 9+ALC</t>
  </si>
  <si>
    <t xml:space="preserve">SalivaScan 10 </t>
  </si>
  <si>
    <t>153.9ALC/                           809xx-3A</t>
  </si>
  <si>
    <t>153.6ALC/                           806xx-A</t>
  </si>
  <si>
    <t>NYSID NYS PSP
Case Price</t>
  </si>
  <si>
    <t>NYSID #  (If different than MFN #</t>
  </si>
  <si>
    <r>
      <t>NYSPSP
Case</t>
    </r>
    <r>
      <rPr>
        <b/>
        <sz val="8"/>
        <color theme="1"/>
        <rFont val="Calibri"/>
        <family val="2"/>
        <scheme val="minor"/>
      </rPr>
      <t xml:space="preserve"> Quantity</t>
    </r>
  </si>
  <si>
    <t>NYS
PSP
Price 
per Each</t>
  </si>
  <si>
    <r>
      <rPr>
        <b/>
        <sz val="11"/>
        <color theme="1"/>
        <rFont val="Calibri"/>
        <family val="2"/>
        <scheme val="minor"/>
      </rPr>
      <t xml:space="preserve">GSA 
Case </t>
    </r>
    <r>
      <rPr>
        <b/>
        <sz val="8"/>
        <color theme="1"/>
        <rFont val="Calibri"/>
        <family val="2"/>
        <scheme val="minor"/>
      </rPr>
      <t>Quantity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</si>
</sst>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########"/>
    <numFmt numFmtId="166" formatCode="\C####*###"/>
    <numFmt numFmtId="167" formatCode="0#\ ###\ ####"/>
    <numFmt numFmtId="168" formatCode="&quot;$&quot;#,##0.000"/>
    <numFmt numFmtId="169" formatCode="###.##"/>
    <numFmt numFmtId="170" formatCode="_([$$-409]* #,##0.00_);_([$$-409]* \(#,##0.00\);_([$$-409]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u/>
      <sz val="10"/>
      <color theme="10"/>
      <name val="Times New Roman"/>
      <family val="2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ill="1"/>
    <xf numFmtId="16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wrapText="1"/>
    </xf>
    <xf numFmtId="168" fontId="2" fillId="0" borderId="7" xfId="1" applyNumberFormat="1" applyFont="1" applyFill="1" applyBorder="1" applyAlignment="1">
      <alignment horizontal="center" wrapText="1"/>
    </xf>
    <xf numFmtId="49" fontId="2" fillId="0" borderId="8" xfId="1" applyNumberFormat="1" applyFont="1" applyFill="1" applyBorder="1" applyAlignment="1">
      <alignment horizontal="center" wrapText="1"/>
    </xf>
    <xf numFmtId="169" fontId="0" fillId="0" borderId="2" xfId="0" applyNumberFormat="1" applyFont="1" applyBorder="1" applyAlignment="1">
      <alignment horizontal="center"/>
    </xf>
    <xf numFmtId="169" fontId="0" fillId="0" borderId="2" xfId="0" applyNumberFormat="1" applyFont="1" applyFill="1" applyBorder="1" applyAlignment="1">
      <alignment horizontal="center"/>
    </xf>
    <xf numFmtId="169" fontId="0" fillId="0" borderId="2" xfId="0" quotePrefix="1" applyNumberFormat="1" applyFont="1" applyBorder="1" applyAlignment="1">
      <alignment horizontal="center"/>
    </xf>
    <xf numFmtId="168" fontId="6" fillId="0" borderId="3" xfId="0" applyNumberFormat="1" applyFont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168" fontId="7" fillId="0" borderId="3" xfId="0" applyNumberFormat="1" applyFont="1" applyFill="1" applyBorder="1" applyAlignment="1">
      <alignment horizontal="center"/>
    </xf>
    <xf numFmtId="168" fontId="7" fillId="0" borderId="3" xfId="0" applyNumberFormat="1" applyFont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8" fontId="2" fillId="0" borderId="9" xfId="1" applyNumberFormat="1" applyFont="1" applyFill="1" applyBorder="1" applyAlignment="1">
      <alignment horizontal="center" wrapText="1"/>
    </xf>
    <xf numFmtId="10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164" fontId="0" fillId="0" borderId="11" xfId="0" applyNumberFormat="1" applyBorder="1" applyAlignment="1">
      <alignment wrapText="1"/>
    </xf>
    <xf numFmtId="164" fontId="0" fillId="0" borderId="12" xfId="0" applyNumberFormat="1" applyBorder="1" applyAlignment="1">
      <alignment wrapText="1"/>
    </xf>
    <xf numFmtId="0" fontId="0" fillId="0" borderId="13" xfId="0" applyBorder="1" applyAlignment="1">
      <alignment horizontal="left"/>
    </xf>
    <xf numFmtId="0" fontId="0" fillId="0" borderId="14" xfId="0" applyBorder="1"/>
    <xf numFmtId="0" fontId="0" fillId="0" borderId="14" xfId="0" applyBorder="1" applyAlignment="1">
      <alignment horizontal="center"/>
    </xf>
    <xf numFmtId="164" fontId="0" fillId="0" borderId="14" xfId="0" applyNumberFormat="1" applyBorder="1"/>
    <xf numFmtId="164" fontId="0" fillId="0" borderId="15" xfId="0" applyNumberFormat="1" applyBorder="1"/>
    <xf numFmtId="0" fontId="0" fillId="0" borderId="16" xfId="0" applyBorder="1" applyAlignment="1">
      <alignment horizontal="left"/>
    </xf>
    <xf numFmtId="0" fontId="0" fillId="0" borderId="17" xfId="0" applyBorder="1"/>
    <xf numFmtId="0" fontId="0" fillId="0" borderId="17" xfId="0" applyBorder="1" applyAlignment="1">
      <alignment horizontal="center"/>
    </xf>
    <xf numFmtId="164" fontId="0" fillId="0" borderId="17" xfId="0" applyNumberFormat="1" applyBorder="1"/>
    <xf numFmtId="164" fontId="0" fillId="0" borderId="18" xfId="0" applyNumberFormat="1" applyBorder="1"/>
    <xf numFmtId="0" fontId="0" fillId="0" borderId="19" xfId="0" applyBorder="1" applyAlignment="1">
      <alignment horizontal="left"/>
    </xf>
    <xf numFmtId="0" fontId="0" fillId="0" borderId="20" xfId="0" applyBorder="1"/>
    <xf numFmtId="0" fontId="0" fillId="0" borderId="20" xfId="0" applyBorder="1" applyAlignment="1">
      <alignment horizontal="center"/>
    </xf>
    <xf numFmtId="164" fontId="0" fillId="0" borderId="20" xfId="0" applyNumberFormat="1" applyBorder="1"/>
    <xf numFmtId="164" fontId="0" fillId="0" borderId="21" xfId="0" applyNumberFormat="1" applyBorder="1"/>
    <xf numFmtId="0" fontId="0" fillId="0" borderId="16" xfId="0" applyFill="1" applyBorder="1" applyAlignment="1">
      <alignment horizontal="left"/>
    </xf>
    <xf numFmtId="0" fontId="0" fillId="0" borderId="17" xfId="0" applyFill="1" applyBorder="1"/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left"/>
    </xf>
    <xf numFmtId="0" fontId="0" fillId="0" borderId="20" xfId="0" applyFill="1" applyBorder="1"/>
    <xf numFmtId="0" fontId="0" fillId="0" borderId="20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/>
    <xf numFmtId="0" fontId="0" fillId="0" borderId="14" xfId="0" applyFill="1" applyBorder="1" applyAlignment="1">
      <alignment horizontal="center"/>
    </xf>
    <xf numFmtId="164" fontId="0" fillId="0" borderId="0" xfId="0" applyNumberFormat="1"/>
    <xf numFmtId="166" fontId="0" fillId="0" borderId="1" xfId="0" applyNumberFormat="1" applyFont="1" applyFill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0" fillId="0" borderId="4" xfId="0" applyNumberFormat="1" applyFont="1" applyBorder="1" applyAlignment="1">
      <alignment horizontal="left" vertical="top" wrapText="1"/>
    </xf>
    <xf numFmtId="166" fontId="0" fillId="0" borderId="4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/>
    </xf>
    <xf numFmtId="167" fontId="0" fillId="3" borderId="1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0" fillId="2" borderId="2" xfId="0" applyNumberFormat="1" applyFont="1" applyFill="1" applyBorder="1" applyAlignment="1">
      <alignment horizontal="center"/>
    </xf>
    <xf numFmtId="168" fontId="0" fillId="0" borderId="3" xfId="0" applyNumberFormat="1" applyFont="1" applyBorder="1" applyAlignment="1">
      <alignment horizontal="center"/>
    </xf>
    <xf numFmtId="10" fontId="6" fillId="2" borderId="5" xfId="0" applyNumberFormat="1" applyFont="1" applyFill="1" applyBorder="1"/>
    <xf numFmtId="166" fontId="0" fillId="3" borderId="1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164" fontId="0" fillId="3" borderId="2" xfId="0" applyNumberFormat="1" applyFont="1" applyFill="1" applyBorder="1" applyAlignment="1">
      <alignment horizontal="center"/>
    </xf>
    <xf numFmtId="168" fontId="0" fillId="3" borderId="3" xfId="0" applyNumberFormat="1" applyFont="1" applyFill="1" applyBorder="1" applyAlignment="1">
      <alignment horizontal="center"/>
    </xf>
    <xf numFmtId="10" fontId="6" fillId="3" borderId="5" xfId="0" applyNumberFormat="1" applyFont="1" applyFill="1" applyBorder="1"/>
    <xf numFmtId="10" fontId="9" fillId="2" borderId="5" xfId="0" applyNumberFormat="1" applyFont="1" applyFill="1" applyBorder="1"/>
    <xf numFmtId="10" fontId="9" fillId="3" borderId="5" xfId="0" applyNumberFormat="1" applyFont="1" applyFill="1" applyBorder="1"/>
    <xf numFmtId="0" fontId="0" fillId="0" borderId="2" xfId="0" applyFont="1" applyFill="1" applyBorder="1" applyAlignment="1">
      <alignment horizontal="center"/>
    </xf>
    <xf numFmtId="168" fontId="0" fillId="0" borderId="3" xfId="0" applyNumberFormat="1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64" fontId="0" fillId="2" borderId="14" xfId="0" applyNumberFormat="1" applyFont="1" applyFill="1" applyBorder="1"/>
    <xf numFmtId="164" fontId="0" fillId="2" borderId="17" xfId="0" applyNumberFormat="1" applyFont="1" applyFill="1" applyBorder="1"/>
    <xf numFmtId="164" fontId="0" fillId="2" borderId="20" xfId="0" applyNumberFormat="1" applyFont="1" applyFill="1" applyBorder="1"/>
    <xf numFmtId="168" fontId="2" fillId="0" borderId="24" xfId="1" applyNumberFormat="1" applyFont="1" applyFill="1" applyBorder="1" applyAlignment="1">
      <alignment horizontal="center" wrapText="1"/>
    </xf>
    <xf numFmtId="166" fontId="0" fillId="0" borderId="4" xfId="0" applyNumberFormat="1" applyFont="1" applyFill="1" applyBorder="1" applyAlignment="1">
      <alignment horizontal="left"/>
    </xf>
    <xf numFmtId="166" fontId="0" fillId="0" borderId="4" xfId="0" applyNumberFormat="1" applyFont="1" applyBorder="1" applyAlignment="1">
      <alignment horizontal="left"/>
    </xf>
    <xf numFmtId="166" fontId="0" fillId="0" borderId="1" xfId="0" applyNumberFormat="1" applyFont="1" applyFill="1" applyBorder="1" applyAlignment="1">
      <alignment horizontal="left"/>
    </xf>
    <xf numFmtId="166" fontId="0" fillId="0" borderId="1" xfId="0" applyNumberFormat="1" applyFont="1" applyBorder="1" applyAlignment="1">
      <alignment horizontal="left"/>
    </xf>
    <xf numFmtId="165" fontId="0" fillId="0" borderId="0" xfId="0" applyNumberFormat="1" applyFont="1" applyAlignment="1">
      <alignment horizontal="left"/>
    </xf>
    <xf numFmtId="170" fontId="2" fillId="0" borderId="7" xfId="1" applyNumberFormat="1" applyFont="1" applyFill="1" applyBorder="1" applyAlignment="1">
      <alignment horizontal="center" wrapText="1"/>
    </xf>
    <xf numFmtId="170" fontId="0" fillId="2" borderId="15" xfId="0" applyNumberFormat="1" applyFont="1" applyFill="1" applyBorder="1"/>
    <xf numFmtId="170" fontId="0" fillId="2" borderId="18" xfId="0" applyNumberFormat="1" applyFont="1" applyFill="1" applyBorder="1"/>
    <xf numFmtId="170" fontId="0" fillId="2" borderId="3" xfId="0" applyNumberFormat="1" applyFont="1" applyFill="1" applyBorder="1" applyAlignment="1">
      <alignment horizontal="center"/>
    </xf>
    <xf numFmtId="170" fontId="0" fillId="2" borderId="21" xfId="0" applyNumberFormat="1" applyFont="1" applyFill="1" applyBorder="1"/>
    <xf numFmtId="170" fontId="0" fillId="0" borderId="0" xfId="0" applyNumberFormat="1" applyBorder="1" applyAlignment="1">
      <alignment horizontal="center"/>
    </xf>
    <xf numFmtId="164" fontId="2" fillId="0" borderId="7" xfId="1" applyNumberFormat="1" applyFont="1" applyFill="1" applyBorder="1" applyAlignment="1">
      <alignment horizontal="center" wrapText="1"/>
    </xf>
    <xf numFmtId="164" fontId="0" fillId="0" borderId="3" xfId="0" applyNumberFormat="1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3" borderId="3" xfId="0" applyNumberFormat="1" applyFont="1" applyFill="1" applyBorder="1" applyAlignment="1">
      <alignment horizontal="center"/>
    </xf>
    <xf numFmtId="170" fontId="2" fillId="0" borderId="22" xfId="1" applyNumberFormat="1" applyFont="1" applyFill="1" applyBorder="1" applyAlignment="1">
      <alignment horizontal="center" wrapText="1"/>
    </xf>
    <xf numFmtId="170" fontId="0" fillId="0" borderId="23" xfId="0" applyNumberFormat="1" applyFont="1" applyFill="1" applyBorder="1" applyAlignment="1">
      <alignment horizontal="center"/>
    </xf>
    <xf numFmtId="170" fontId="0" fillId="0" borderId="23" xfId="0" applyNumberFormat="1" applyFont="1" applyBorder="1" applyAlignment="1">
      <alignment horizontal="center"/>
    </xf>
    <xf numFmtId="170" fontId="7" fillId="0" borderId="23" xfId="0" applyNumberFormat="1" applyFont="1" applyBorder="1" applyAlignment="1">
      <alignment horizontal="center"/>
    </xf>
    <xf numFmtId="170" fontId="0" fillId="0" borderId="0" xfId="0" applyNumberFormat="1" applyAlignment="1">
      <alignment horizontal="center"/>
    </xf>
    <xf numFmtId="170" fontId="8" fillId="0" borderId="23" xfId="0" applyNumberFormat="1" applyFont="1" applyBorder="1" applyAlignment="1">
      <alignment horizontal="center"/>
    </xf>
    <xf numFmtId="10" fontId="6" fillId="0" borderId="26" xfId="0" applyNumberFormat="1" applyFont="1" applyBorder="1"/>
    <xf numFmtId="10" fontId="9" fillId="0" borderId="27" xfId="0" applyNumberFormat="1" applyFont="1" applyBorder="1"/>
    <xf numFmtId="10" fontId="9" fillId="0" borderId="25" xfId="0" applyNumberFormat="1" applyFont="1" applyBorder="1"/>
    <xf numFmtId="10" fontId="6" fillId="0" borderId="25" xfId="0" applyNumberFormat="1" applyFont="1" applyBorder="1"/>
    <xf numFmtId="167" fontId="0" fillId="3" borderId="1" xfId="0" applyNumberFormat="1" applyFont="1" applyFill="1" applyBorder="1" applyAlignment="1"/>
    <xf numFmtId="167" fontId="0" fillId="0" borderId="1" xfId="0" applyNumberFormat="1" applyFont="1" applyBorder="1" applyAlignment="1">
      <alignment horizontal="center" wrapText="1"/>
    </xf>
    <xf numFmtId="167" fontId="0" fillId="0" borderId="1" xfId="0" applyNumberFormat="1" applyFont="1" applyFill="1" applyBorder="1" applyAlignment="1">
      <alignment horizontal="center" wrapText="1"/>
    </xf>
  </cellXfs>
  <cellStyles count="7">
    <cellStyle name="Comma 2" xfId="3" xr:uid="{00000000-0005-0000-0000-000000000000}"/>
    <cellStyle name="Currency" xfId="1" builtinId="4"/>
    <cellStyle name="Currency 2" xfId="4" xr:uid="{00000000-0005-0000-0000-000002000000}"/>
    <cellStyle name="Hyperlink 2" xfId="5" xr:uid="{00000000-0005-0000-0000-000003000000}"/>
    <cellStyle name="Normal" xfId="0" builtinId="0"/>
    <cellStyle name="Normal 2" xfId="2" xr:uid="{00000000-0005-0000-0000-000005000000}"/>
    <cellStyle name="Percent 2" xfId="6" xr:uid="{00000000-0005-0000-0000-000006000000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6"/>
  <sheetViews>
    <sheetView tabSelected="1" showRuler="0" topLeftCell="J3" zoomScaleNormal="100" workbookViewId="0">
      <selection activeCell="V3" sqref="V3"/>
    </sheetView>
  </sheetViews>
  <sheetFormatPr baseColWidth="10" defaultColWidth="8.83203125" defaultRowHeight="15" x14ac:dyDescent="0.2"/>
  <cols>
    <col min="1" max="1" width="15.33203125" style="85" customWidth="1"/>
    <col min="2" max="2" width="14.1640625" style="2" customWidth="1"/>
    <col min="3" max="3" width="11.5" style="7" bestFit="1" customWidth="1"/>
    <col min="4" max="4" width="7.6640625" style="2" customWidth="1"/>
    <col min="5" max="5" width="7.5" style="4" customWidth="1"/>
    <col min="6" max="6" width="7.33203125" style="91" customWidth="1"/>
    <col min="7" max="7" width="16.5" style="8" bestFit="1" customWidth="1"/>
    <col min="8" max="8" width="6.83203125" style="2" bestFit="1" customWidth="1"/>
    <col min="9" max="9" width="7.5" style="3" bestFit="1" customWidth="1"/>
    <col min="10" max="10" width="8.5" style="100" customWidth="1"/>
    <col min="12" max="12" width="12" style="8" customWidth="1"/>
    <col min="13" max="13" width="8" style="2" customWidth="1"/>
    <col min="14" max="14" width="7.5" style="3" bestFit="1" customWidth="1"/>
    <col min="15" max="15" width="6.6640625" style="4" customWidth="1"/>
    <col min="16" max="16" width="7.83203125" style="25" bestFit="1" customWidth="1"/>
    <col min="17" max="17" width="15.6640625" style="2" customWidth="1"/>
    <col min="18" max="18" width="8.1640625" style="2" customWidth="1"/>
    <col min="19" max="19" width="7.33203125" style="3" customWidth="1"/>
    <col min="20" max="21" width="10.33203125" style="6" customWidth="1"/>
  </cols>
  <sheetData>
    <row r="1" spans="1:21" ht="93.75" customHeight="1" thickTop="1" thickBot="1" x14ac:dyDescent="0.25">
      <c r="A1" s="9" t="s">
        <v>0</v>
      </c>
      <c r="B1" s="10" t="s">
        <v>1</v>
      </c>
      <c r="C1" s="11" t="s">
        <v>12</v>
      </c>
      <c r="D1" s="9" t="s">
        <v>237</v>
      </c>
      <c r="E1" s="13" t="s">
        <v>2</v>
      </c>
      <c r="F1" s="86" t="s">
        <v>238</v>
      </c>
      <c r="G1" s="15" t="s">
        <v>173</v>
      </c>
      <c r="H1" s="9" t="s">
        <v>174</v>
      </c>
      <c r="I1" s="13" t="s">
        <v>9</v>
      </c>
      <c r="J1" s="96" t="s">
        <v>11</v>
      </c>
      <c r="K1" s="80" t="s">
        <v>179</v>
      </c>
      <c r="L1" s="15" t="s">
        <v>157</v>
      </c>
      <c r="M1" s="12" t="s">
        <v>239</v>
      </c>
      <c r="N1" s="13" t="s">
        <v>3</v>
      </c>
      <c r="O1" s="92" t="s">
        <v>10</v>
      </c>
      <c r="P1" s="24" t="s">
        <v>178</v>
      </c>
      <c r="Q1" s="11" t="s">
        <v>236</v>
      </c>
      <c r="R1" s="12" t="s">
        <v>175</v>
      </c>
      <c r="S1" s="13" t="s">
        <v>235</v>
      </c>
      <c r="T1" s="14" t="s">
        <v>176</v>
      </c>
      <c r="U1" s="24" t="s">
        <v>177</v>
      </c>
    </row>
    <row r="2" spans="1:21" s="5" customFormat="1" ht="22.25" customHeight="1" thickTop="1" thickBot="1" x14ac:dyDescent="0.25">
      <c r="A2" s="81" t="s">
        <v>5</v>
      </c>
      <c r="B2" s="76" t="s">
        <v>4</v>
      </c>
      <c r="C2" s="16">
        <v>150.30000000000001</v>
      </c>
      <c r="D2" s="73">
        <v>25</v>
      </c>
      <c r="E2" s="77">
        <f>VLOOKUP(C2,Sheet2!A1:F45,5,FALSE)</f>
        <v>29.174573479930196</v>
      </c>
      <c r="F2" s="87">
        <v>1.1669829391972077</v>
      </c>
      <c r="G2" s="56" t="s">
        <v>159</v>
      </c>
      <c r="H2" s="73">
        <v>25</v>
      </c>
      <c r="I2" s="23">
        <f>25*1.25</f>
        <v>31.25</v>
      </c>
      <c r="J2" s="97">
        <f t="shared" ref="J2" si="0">I2/H2</f>
        <v>1.25</v>
      </c>
      <c r="K2" s="103">
        <f t="shared" ref="K2:K45" si="1">(J2/F2)-(1)</f>
        <v>7.1138195781937918E-2</v>
      </c>
      <c r="L2" s="108">
        <v>11026062</v>
      </c>
      <c r="M2" s="73">
        <v>25</v>
      </c>
      <c r="N2" s="63">
        <f>25*1.82</f>
        <v>45.5</v>
      </c>
      <c r="O2" s="93">
        <f t="shared" ref="O2" si="2">N2/M2</f>
        <v>1.82</v>
      </c>
      <c r="P2" s="71">
        <f t="shared" ref="P2:P15" si="3">(O2/F2)-(1)</f>
        <v>0.5595772130585015</v>
      </c>
      <c r="Q2" s="56" t="s">
        <v>147</v>
      </c>
      <c r="R2" s="73">
        <v>25</v>
      </c>
      <c r="S2" s="63">
        <v>30.22</v>
      </c>
      <c r="T2" s="74">
        <f t="shared" ref="T2:T4" si="4">S2/R2</f>
        <v>1.2087999999999999</v>
      </c>
      <c r="U2" s="71">
        <f t="shared" ref="U2:U40" si="5">(T2/F2)-(1)</f>
        <v>3.5833480848965094E-2</v>
      </c>
    </row>
    <row r="3" spans="1:21" s="1" customFormat="1" ht="22.25" customHeight="1" thickBot="1" x14ac:dyDescent="0.25">
      <c r="A3" s="82" t="s">
        <v>7</v>
      </c>
      <c r="B3" s="60" t="s">
        <v>8</v>
      </c>
      <c r="C3" s="16">
        <v>150.4</v>
      </c>
      <c r="D3" s="62">
        <v>25</v>
      </c>
      <c r="E3" s="77">
        <f>VLOOKUP(C3,Sheet2!A2:F46,5,FALSE)</f>
        <v>35.457295993019194</v>
      </c>
      <c r="F3" s="88">
        <v>1.4182918397207678</v>
      </c>
      <c r="G3" s="57" t="s">
        <v>160</v>
      </c>
      <c r="H3" s="62">
        <v>25</v>
      </c>
      <c r="I3" s="75">
        <f>25*1.45</f>
        <v>36.25</v>
      </c>
      <c r="J3" s="98">
        <f t="shared" ref="J3" si="6">I3/H3</f>
        <v>1.45</v>
      </c>
      <c r="K3" s="104">
        <f t="shared" si="1"/>
        <v>2.2356583737712876E-2</v>
      </c>
      <c r="L3" s="107">
        <v>11026300</v>
      </c>
      <c r="M3" s="62">
        <v>25</v>
      </c>
      <c r="N3" s="63">
        <f>25*2.13</f>
        <v>53.25</v>
      </c>
      <c r="O3" s="94">
        <f t="shared" ref="O3" si="7">N3/M3</f>
        <v>2.13</v>
      </c>
      <c r="P3" s="71">
        <f t="shared" si="3"/>
        <v>0.5018065678353989</v>
      </c>
      <c r="Q3" s="57" t="s">
        <v>148</v>
      </c>
      <c r="R3" s="62">
        <v>25</v>
      </c>
      <c r="S3" s="63">
        <v>38.47</v>
      </c>
      <c r="T3" s="64">
        <f t="shared" si="4"/>
        <v>1.5387999999999999</v>
      </c>
      <c r="U3" s="71">
        <f t="shared" si="5"/>
        <v>8.496711107282251E-2</v>
      </c>
    </row>
    <row r="4" spans="1:21" s="1" customFormat="1" ht="22.25" customHeight="1" thickBot="1" x14ac:dyDescent="0.25">
      <c r="A4" s="82" t="s">
        <v>6</v>
      </c>
      <c r="B4" s="60" t="s">
        <v>13</v>
      </c>
      <c r="C4" s="16">
        <v>150.5</v>
      </c>
      <c r="D4" s="62">
        <v>25</v>
      </c>
      <c r="E4" s="77">
        <f>VLOOKUP(C4,Sheet2!A3:F47,5,FALSE)</f>
        <v>41.740018506108207</v>
      </c>
      <c r="F4" s="88">
        <v>1.6696007402443283</v>
      </c>
      <c r="G4" s="57" t="s">
        <v>161</v>
      </c>
      <c r="H4" s="62">
        <v>25</v>
      </c>
      <c r="I4" s="75">
        <f>25*1.8</f>
        <v>45</v>
      </c>
      <c r="J4" s="98">
        <f t="shared" ref="J4" si="8">I4/H4</f>
        <v>1.8</v>
      </c>
      <c r="K4" s="104">
        <f t="shared" si="1"/>
        <v>7.8102061536334366E-2</v>
      </c>
      <c r="L4" s="20">
        <v>11026066</v>
      </c>
      <c r="M4" s="62">
        <v>25</v>
      </c>
      <c r="N4" s="63">
        <f>25*2.5</f>
        <v>62.5</v>
      </c>
      <c r="O4" s="94">
        <f t="shared" ref="O4" si="9">N4/M4</f>
        <v>2.5</v>
      </c>
      <c r="P4" s="71">
        <f t="shared" si="3"/>
        <v>0.49736397435601987</v>
      </c>
      <c r="Q4" s="57" t="s">
        <v>149</v>
      </c>
      <c r="R4" s="62">
        <v>25</v>
      </c>
      <c r="S4" s="63">
        <v>39.01</v>
      </c>
      <c r="T4" s="22">
        <f t="shared" si="4"/>
        <v>1.5604</v>
      </c>
      <c r="U4" s="65">
        <f t="shared" si="5"/>
        <v>-6.5405301765946722E-2</v>
      </c>
    </row>
    <row r="5" spans="1:21" s="1" customFormat="1" ht="22.25" customHeight="1" thickBot="1" x14ac:dyDescent="0.25">
      <c r="A5" s="82" t="s">
        <v>21</v>
      </c>
      <c r="B5" s="60" t="s">
        <v>26</v>
      </c>
      <c r="C5" s="16" t="s">
        <v>14</v>
      </c>
      <c r="D5" s="62">
        <v>25</v>
      </c>
      <c r="E5" s="77">
        <f>VLOOKUP(C5,Sheet2!A4:F48,5,FALSE)</f>
        <v>48.022741019197213</v>
      </c>
      <c r="F5" s="88">
        <v>1.9209096407678885</v>
      </c>
      <c r="G5" s="57" t="s">
        <v>18</v>
      </c>
      <c r="H5" s="62">
        <v>25</v>
      </c>
      <c r="I5" s="75">
        <f>25*2.05</f>
        <v>51.249999999999993</v>
      </c>
      <c r="J5" s="98">
        <f>I5/H5</f>
        <v>2.0499999999999998</v>
      </c>
      <c r="K5" s="104">
        <f t="shared" si="1"/>
        <v>6.7202723382921326E-2</v>
      </c>
      <c r="L5" s="20">
        <v>11026066</v>
      </c>
      <c r="M5" s="62">
        <v>25</v>
      </c>
      <c r="N5" s="63">
        <f>25*3.22</f>
        <v>80.5</v>
      </c>
      <c r="O5" s="94">
        <f>N5/M5</f>
        <v>3.22</v>
      </c>
      <c r="P5" s="71">
        <f t="shared" si="3"/>
        <v>0.67628915575268644</v>
      </c>
      <c r="Q5" s="66"/>
      <c r="R5" s="67"/>
      <c r="S5" s="68"/>
      <c r="T5" s="69"/>
      <c r="U5" s="70"/>
    </row>
    <row r="6" spans="1:21" s="1" customFormat="1" ht="22.25" customHeight="1" thickBot="1" x14ac:dyDescent="0.25">
      <c r="A6" s="82" t="s">
        <v>15</v>
      </c>
      <c r="B6" s="60" t="s">
        <v>24</v>
      </c>
      <c r="C6" s="16">
        <v>150.6</v>
      </c>
      <c r="D6" s="62">
        <v>25</v>
      </c>
      <c r="E6" s="77">
        <f>VLOOKUP(C6,Sheet2!A5:F49,5,FALSE)</f>
        <v>48.022741019197213</v>
      </c>
      <c r="F6" s="88">
        <v>1.9209096407678885</v>
      </c>
      <c r="G6" s="57" t="s">
        <v>16</v>
      </c>
      <c r="H6" s="62">
        <v>25</v>
      </c>
      <c r="I6" s="75">
        <f>25*2</f>
        <v>50</v>
      </c>
      <c r="J6" s="98">
        <f>I6/H6</f>
        <v>2</v>
      </c>
      <c r="K6" s="104">
        <f t="shared" si="1"/>
        <v>4.1173388666264854E-2</v>
      </c>
      <c r="L6" s="20">
        <v>11026082</v>
      </c>
      <c r="M6" s="62">
        <v>25</v>
      </c>
      <c r="N6" s="63">
        <f>25*2.89</f>
        <v>72.25</v>
      </c>
      <c r="O6" s="94">
        <f>N6/M6</f>
        <v>2.89</v>
      </c>
      <c r="P6" s="71">
        <f t="shared" si="3"/>
        <v>0.50449554662275276</v>
      </c>
      <c r="Q6" s="57" t="s">
        <v>150</v>
      </c>
      <c r="R6" s="62">
        <v>25</v>
      </c>
      <c r="S6" s="63">
        <v>41.2</v>
      </c>
      <c r="T6" s="19">
        <f t="shared" ref="T6" si="10">S6/R6</f>
        <v>1.6480000000000001</v>
      </c>
      <c r="U6" s="65">
        <f t="shared" si="5"/>
        <v>-0.14207312773899772</v>
      </c>
    </row>
    <row r="7" spans="1:21" s="1" customFormat="1" ht="22.25" customHeight="1" thickBot="1" x14ac:dyDescent="0.25">
      <c r="A7" s="82" t="s">
        <v>20</v>
      </c>
      <c r="B7" s="60" t="s">
        <v>25</v>
      </c>
      <c r="C7" s="16" t="s">
        <v>17</v>
      </c>
      <c r="D7" s="62">
        <v>25</v>
      </c>
      <c r="E7" s="77">
        <f>VLOOKUP(C7,Sheet2!A6:F50,5,FALSE)</f>
        <v>54.829023741710301</v>
      </c>
      <c r="F7" s="88">
        <v>2.1931609496684121</v>
      </c>
      <c r="G7" s="57" t="s">
        <v>19</v>
      </c>
      <c r="H7" s="62">
        <v>25</v>
      </c>
      <c r="I7" s="75">
        <f>25*2.3</f>
        <v>57.499999999999993</v>
      </c>
      <c r="J7" s="98">
        <f t="shared" ref="J7:J19" si="11">I7/H7</f>
        <v>2.2999999999999998</v>
      </c>
      <c r="K7" s="104">
        <f t="shared" si="1"/>
        <v>4.8714641917977364E-2</v>
      </c>
      <c r="L7" s="20">
        <v>11026083</v>
      </c>
      <c r="M7" s="62">
        <v>25</v>
      </c>
      <c r="N7" s="63">
        <f>25*3.79</f>
        <v>94.75</v>
      </c>
      <c r="O7" s="94">
        <f t="shared" ref="O7:O8" si="12">N7/M7</f>
        <v>3.79</v>
      </c>
      <c r="P7" s="71">
        <f t="shared" si="3"/>
        <v>0.72809934472571047</v>
      </c>
      <c r="Q7" s="66"/>
      <c r="R7" s="67"/>
      <c r="S7" s="68"/>
      <c r="T7" s="69"/>
      <c r="U7" s="70"/>
    </row>
    <row r="8" spans="1:21" s="1" customFormat="1" ht="22.25" customHeight="1" thickBot="1" x14ac:dyDescent="0.25">
      <c r="A8" s="82" t="s">
        <v>22</v>
      </c>
      <c r="B8" s="60" t="s">
        <v>23</v>
      </c>
      <c r="C8" s="16">
        <v>150.69999999999999</v>
      </c>
      <c r="D8" s="62">
        <v>25</v>
      </c>
      <c r="E8" s="77">
        <f>VLOOKUP(C8,Sheet2!A7:F51,5,FALSE)</f>
        <v>54.829023741710301</v>
      </c>
      <c r="F8" s="88">
        <v>2.1931609496684121</v>
      </c>
      <c r="G8" s="57" t="s">
        <v>158</v>
      </c>
      <c r="H8" s="62">
        <v>25</v>
      </c>
      <c r="I8" s="75">
        <f>25*2.19</f>
        <v>54.75</v>
      </c>
      <c r="J8" s="99">
        <f t="shared" si="11"/>
        <v>2.19</v>
      </c>
      <c r="K8" s="105">
        <f t="shared" si="1"/>
        <v>-1.4412757389693498E-3</v>
      </c>
      <c r="L8" s="20">
        <v>11026092</v>
      </c>
      <c r="M8" s="62">
        <v>25</v>
      </c>
      <c r="N8" s="63">
        <f>25*3.31</f>
        <v>82.75</v>
      </c>
      <c r="O8" s="94">
        <f t="shared" si="12"/>
        <v>3.31</v>
      </c>
      <c r="P8" s="71">
        <f t="shared" si="3"/>
        <v>0.50923715858630647</v>
      </c>
      <c r="Q8" s="57" t="s">
        <v>151</v>
      </c>
      <c r="R8" s="62">
        <v>25</v>
      </c>
      <c r="S8" s="63">
        <v>52.52</v>
      </c>
      <c r="T8" s="22">
        <f t="shared" ref="T8:T18" si="13">S8/R8</f>
        <v>2.1008</v>
      </c>
      <c r="U8" s="65">
        <f t="shared" si="5"/>
        <v>-4.2113165329875302E-2</v>
      </c>
    </row>
    <row r="9" spans="1:21" s="1" customFormat="1" ht="22.25" customHeight="1" thickBot="1" x14ac:dyDescent="0.25">
      <c r="A9" s="82" t="s">
        <v>29</v>
      </c>
      <c r="B9" s="60" t="s">
        <v>28</v>
      </c>
      <c r="C9" s="16" t="s">
        <v>27</v>
      </c>
      <c r="D9" s="62">
        <v>25</v>
      </c>
      <c r="E9" s="77">
        <f>VLOOKUP(C9,Sheet2!A8:F52,5,FALSE)</f>
        <v>60.849966150087269</v>
      </c>
      <c r="F9" s="88">
        <v>2.4339986460034906</v>
      </c>
      <c r="G9" s="57" t="s">
        <v>162</v>
      </c>
      <c r="H9" s="62">
        <v>25</v>
      </c>
      <c r="I9" s="75">
        <f>25*2.5</f>
        <v>62.5</v>
      </c>
      <c r="J9" s="98">
        <f t="shared" ref="J9:J16" si="14">I9/H9</f>
        <v>2.5</v>
      </c>
      <c r="K9" s="104">
        <f t="shared" si="1"/>
        <v>2.7116430037823047E-2</v>
      </c>
      <c r="L9" s="20">
        <v>11026093</v>
      </c>
      <c r="M9" s="62">
        <v>25</v>
      </c>
      <c r="N9" s="63">
        <f>25*3.7</f>
        <v>92.5</v>
      </c>
      <c r="O9" s="94">
        <f t="shared" ref="O9:O15" si="15">N9/M9</f>
        <v>3.7</v>
      </c>
      <c r="P9" s="71">
        <f t="shared" si="3"/>
        <v>0.52013231645597813</v>
      </c>
      <c r="Q9" s="66"/>
      <c r="R9" s="67"/>
      <c r="S9" s="68"/>
      <c r="T9" s="69"/>
      <c r="U9" s="70"/>
    </row>
    <row r="10" spans="1:21" s="1" customFormat="1" ht="22.25" customHeight="1" thickBot="1" x14ac:dyDescent="0.25">
      <c r="A10" s="82" t="s">
        <v>30</v>
      </c>
      <c r="B10" s="60" t="s">
        <v>35</v>
      </c>
      <c r="C10" s="16">
        <v>150.80000000000001</v>
      </c>
      <c r="D10" s="62">
        <v>25</v>
      </c>
      <c r="E10" s="77">
        <f>VLOOKUP(C10,Sheet2!A9:F53,5,FALSE)</f>
        <v>60.849966150087269</v>
      </c>
      <c r="F10" s="88">
        <v>2.4339986460034906</v>
      </c>
      <c r="G10" s="57" t="s">
        <v>163</v>
      </c>
      <c r="H10" s="62">
        <v>25</v>
      </c>
      <c r="I10" s="75">
        <f>25*2.8</f>
        <v>70</v>
      </c>
      <c r="J10" s="98">
        <f t="shared" si="14"/>
        <v>2.8</v>
      </c>
      <c r="K10" s="104">
        <f t="shared" si="1"/>
        <v>0.15037040164236171</v>
      </c>
      <c r="L10" s="20">
        <v>11026098</v>
      </c>
      <c r="M10" s="62">
        <v>25</v>
      </c>
      <c r="N10" s="63">
        <f>25*3.7</f>
        <v>92.5</v>
      </c>
      <c r="O10" s="94">
        <f t="shared" si="15"/>
        <v>3.7</v>
      </c>
      <c r="P10" s="71">
        <f t="shared" si="3"/>
        <v>0.52013231645597813</v>
      </c>
      <c r="Q10" s="57" t="s">
        <v>152</v>
      </c>
      <c r="R10" s="62">
        <v>25</v>
      </c>
      <c r="S10" s="63">
        <v>64.08</v>
      </c>
      <c r="T10" s="64">
        <f t="shared" ref="T10:T16" si="16">S10/R10</f>
        <v>2.5632000000000001</v>
      </c>
      <c r="U10" s="71">
        <f t="shared" si="5"/>
        <v>5.3081933389179214E-2</v>
      </c>
    </row>
    <row r="11" spans="1:21" s="1" customFormat="1" ht="22.25" customHeight="1" thickBot="1" x14ac:dyDescent="0.25">
      <c r="A11" s="82" t="s">
        <v>31</v>
      </c>
      <c r="B11" s="60" t="s">
        <v>36</v>
      </c>
      <c r="C11" s="16" t="s">
        <v>32</v>
      </c>
      <c r="D11" s="62">
        <v>25</v>
      </c>
      <c r="E11" s="77">
        <f>VLOOKUP(C11,Sheet2!A10:F54,5,FALSE)</f>
        <v>67.394468767888327</v>
      </c>
      <c r="F11" s="88">
        <v>2.6957787507155331</v>
      </c>
      <c r="G11" s="57" t="s">
        <v>164</v>
      </c>
      <c r="H11" s="62">
        <v>25</v>
      </c>
      <c r="I11" s="75">
        <f>25*3.5</f>
        <v>87.5</v>
      </c>
      <c r="J11" s="98">
        <f t="shared" si="14"/>
        <v>3.5</v>
      </c>
      <c r="K11" s="104">
        <f t="shared" si="1"/>
        <v>0.29832613268837616</v>
      </c>
      <c r="L11" s="20">
        <v>11026099</v>
      </c>
      <c r="M11" s="62">
        <v>25</v>
      </c>
      <c r="N11" s="63">
        <f>25*4.09</f>
        <v>102.25</v>
      </c>
      <c r="O11" s="94">
        <f t="shared" si="15"/>
        <v>4.09</v>
      </c>
      <c r="P11" s="71">
        <f t="shared" si="3"/>
        <v>0.51718682362727386</v>
      </c>
      <c r="Q11" s="66"/>
      <c r="R11" s="67"/>
      <c r="S11" s="68"/>
      <c r="T11" s="69"/>
      <c r="U11" s="72"/>
    </row>
    <row r="12" spans="1:21" s="1" customFormat="1" ht="22.25" customHeight="1" thickBot="1" x14ac:dyDescent="0.25">
      <c r="A12" s="82" t="s">
        <v>33</v>
      </c>
      <c r="B12" s="60" t="s">
        <v>39</v>
      </c>
      <c r="C12" s="16">
        <v>150.9</v>
      </c>
      <c r="D12" s="62">
        <v>25</v>
      </c>
      <c r="E12" s="77">
        <f>VLOOKUP(C12,Sheet2!A11:F55,5,FALSE)</f>
        <v>67.394468767888327</v>
      </c>
      <c r="F12" s="88">
        <v>2.6957787507155331</v>
      </c>
      <c r="G12" s="57" t="s">
        <v>165</v>
      </c>
      <c r="H12" s="62">
        <v>25</v>
      </c>
      <c r="I12" s="75">
        <f>25*3</f>
        <v>75</v>
      </c>
      <c r="J12" s="98">
        <f t="shared" si="14"/>
        <v>3</v>
      </c>
      <c r="K12" s="104">
        <f t="shared" si="1"/>
        <v>0.11285097087575102</v>
      </c>
      <c r="L12" s="20">
        <v>11916102</v>
      </c>
      <c r="M12" s="62">
        <v>25</v>
      </c>
      <c r="N12" s="63">
        <f>25*4.09</f>
        <v>102.25</v>
      </c>
      <c r="O12" s="94">
        <f t="shared" si="15"/>
        <v>4.09</v>
      </c>
      <c r="P12" s="71">
        <f t="shared" si="3"/>
        <v>0.51718682362727386</v>
      </c>
      <c r="Q12" s="57" t="s">
        <v>153</v>
      </c>
      <c r="R12" s="62">
        <v>25</v>
      </c>
      <c r="S12" s="63">
        <v>75.349999999999994</v>
      </c>
      <c r="T12" s="64">
        <f t="shared" si="16"/>
        <v>3.0139999999999998</v>
      </c>
      <c r="U12" s="71">
        <f t="shared" si="5"/>
        <v>0.11804427540650431</v>
      </c>
    </row>
    <row r="13" spans="1:21" s="1" customFormat="1" ht="22.25" customHeight="1" thickBot="1" x14ac:dyDescent="0.25">
      <c r="A13" s="82" t="s">
        <v>34</v>
      </c>
      <c r="B13" s="60" t="s">
        <v>40</v>
      </c>
      <c r="C13" s="16" t="s">
        <v>37</v>
      </c>
      <c r="D13" s="62">
        <v>25</v>
      </c>
      <c r="E13" s="77">
        <f>VLOOKUP(C13,Sheet2!A12:F56,5,FALSE)</f>
        <v>73.677191280977311</v>
      </c>
      <c r="F13" s="88">
        <v>2.9470876512390927</v>
      </c>
      <c r="G13" s="57" t="s">
        <v>166</v>
      </c>
      <c r="H13" s="62">
        <v>25</v>
      </c>
      <c r="I13" s="75">
        <f>25*3.3</f>
        <v>82.5</v>
      </c>
      <c r="J13" s="98">
        <f t="shared" si="14"/>
        <v>3.3</v>
      </c>
      <c r="K13" s="104">
        <f t="shared" si="1"/>
        <v>0.11974952581153353</v>
      </c>
      <c r="L13" s="20">
        <v>11916103</v>
      </c>
      <c r="M13" s="62">
        <v>25</v>
      </c>
      <c r="N13" s="63">
        <f>25*4.48</f>
        <v>112.00000000000001</v>
      </c>
      <c r="O13" s="94">
        <f t="shared" si="15"/>
        <v>4.4800000000000004</v>
      </c>
      <c r="P13" s="71">
        <f t="shared" si="3"/>
        <v>0.52014481079868813</v>
      </c>
      <c r="Q13" s="66"/>
      <c r="R13" s="67"/>
      <c r="S13" s="68"/>
      <c r="T13" s="69"/>
      <c r="U13" s="70"/>
    </row>
    <row r="14" spans="1:21" s="1" customFormat="1" ht="22.25" customHeight="1" thickBot="1" x14ac:dyDescent="0.25">
      <c r="A14" s="82" t="s">
        <v>38</v>
      </c>
      <c r="B14" s="60" t="s">
        <v>41</v>
      </c>
      <c r="C14" s="16" t="s">
        <v>44</v>
      </c>
      <c r="D14" s="62">
        <v>25</v>
      </c>
      <c r="E14" s="77">
        <f>VLOOKUP(C14,Sheet2!A13:F57,5,FALSE)</f>
        <v>73.677191280977311</v>
      </c>
      <c r="F14" s="88">
        <v>2.9470876512390927</v>
      </c>
      <c r="G14" s="57" t="s">
        <v>167</v>
      </c>
      <c r="H14" s="62">
        <v>25</v>
      </c>
      <c r="I14" s="75">
        <f>25*3.25</f>
        <v>81.25</v>
      </c>
      <c r="J14" s="98">
        <f t="shared" si="14"/>
        <v>3.25</v>
      </c>
      <c r="K14" s="104">
        <f t="shared" si="1"/>
        <v>0.10278362390529816</v>
      </c>
      <c r="L14" s="20">
        <v>11026302</v>
      </c>
      <c r="M14" s="62">
        <v>25</v>
      </c>
      <c r="N14" s="63">
        <f>25*4.48</f>
        <v>112.00000000000001</v>
      </c>
      <c r="O14" s="94">
        <f t="shared" si="15"/>
        <v>4.4800000000000004</v>
      </c>
      <c r="P14" s="71">
        <f t="shared" si="3"/>
        <v>0.52014481079868813</v>
      </c>
      <c r="Q14" s="57" t="s">
        <v>154</v>
      </c>
      <c r="R14" s="62">
        <v>25</v>
      </c>
      <c r="S14" s="63">
        <v>86.63</v>
      </c>
      <c r="T14" s="64">
        <f t="shared" si="16"/>
        <v>3.4651999999999998</v>
      </c>
      <c r="U14" s="71">
        <f t="shared" si="5"/>
        <v>0.17580486570973508</v>
      </c>
    </row>
    <row r="15" spans="1:21" s="1" customFormat="1" ht="22.25" customHeight="1" thickBot="1" x14ac:dyDescent="0.25">
      <c r="A15" s="82" t="s">
        <v>43</v>
      </c>
      <c r="B15" s="60" t="s">
        <v>51</v>
      </c>
      <c r="C15" s="16" t="s">
        <v>42</v>
      </c>
      <c r="D15" s="62">
        <v>25</v>
      </c>
      <c r="E15" s="77">
        <f>VLOOKUP(C15,Sheet2!A14:F58,5,FALSE)</f>
        <v>79.959913794066324</v>
      </c>
      <c r="F15" s="89">
        <v>3.2</v>
      </c>
      <c r="G15" s="57" t="s">
        <v>168</v>
      </c>
      <c r="H15" s="62">
        <v>25</v>
      </c>
      <c r="I15" s="23">
        <f>25*3.5</f>
        <v>87.5</v>
      </c>
      <c r="J15" s="98">
        <f t="shared" si="14"/>
        <v>3.5</v>
      </c>
      <c r="K15" s="104">
        <f t="shared" si="1"/>
        <v>9.375E-2</v>
      </c>
      <c r="L15" s="20">
        <v>11026104</v>
      </c>
      <c r="M15" s="62">
        <v>25</v>
      </c>
      <c r="N15" s="63">
        <f>25*4.74</f>
        <v>118.5</v>
      </c>
      <c r="O15" s="94">
        <f t="shared" si="15"/>
        <v>4.74</v>
      </c>
      <c r="P15" s="71">
        <f t="shared" si="3"/>
        <v>0.48124999999999996</v>
      </c>
      <c r="Q15" s="66"/>
      <c r="R15" s="67"/>
      <c r="S15" s="68"/>
      <c r="T15" s="69"/>
      <c r="U15" s="70"/>
    </row>
    <row r="16" spans="1:21" s="1" customFormat="1" ht="22.25" customHeight="1" x14ac:dyDescent="0.2">
      <c r="A16" s="82" t="s">
        <v>45</v>
      </c>
      <c r="B16" s="60" t="s">
        <v>49</v>
      </c>
      <c r="C16" s="16" t="s">
        <v>47</v>
      </c>
      <c r="D16" s="62">
        <v>25</v>
      </c>
      <c r="E16" s="77">
        <v>79.959999999999994</v>
      </c>
      <c r="F16" s="89">
        <v>3.2</v>
      </c>
      <c r="G16" s="57" t="s">
        <v>169</v>
      </c>
      <c r="H16" s="62">
        <v>25</v>
      </c>
      <c r="I16" s="75">
        <f>25*3.45</f>
        <v>86.25</v>
      </c>
      <c r="J16" s="98">
        <f t="shared" si="14"/>
        <v>3.45</v>
      </c>
      <c r="K16" s="104">
        <f t="shared" si="1"/>
        <v>7.8125E-2</v>
      </c>
      <c r="L16" s="61"/>
      <c r="M16" s="67"/>
      <c r="N16" s="68"/>
      <c r="O16" s="95"/>
      <c r="P16" s="70"/>
      <c r="Q16" s="57" t="s">
        <v>155</v>
      </c>
      <c r="R16" s="62">
        <v>25</v>
      </c>
      <c r="S16" s="63">
        <v>100.38</v>
      </c>
      <c r="T16" s="64">
        <f t="shared" si="16"/>
        <v>4.0152000000000001</v>
      </c>
      <c r="U16" s="71">
        <f t="shared" si="5"/>
        <v>0.25475000000000003</v>
      </c>
    </row>
    <row r="17" spans="1:21" s="1" customFormat="1" ht="22.25" customHeight="1" x14ac:dyDescent="0.2">
      <c r="A17" s="82" t="s">
        <v>46</v>
      </c>
      <c r="B17" s="60" t="s">
        <v>50</v>
      </c>
      <c r="C17" s="17" t="s">
        <v>48</v>
      </c>
      <c r="D17" s="73">
        <v>25</v>
      </c>
      <c r="E17" s="78">
        <v>93.572479239092502</v>
      </c>
      <c r="F17" s="88">
        <v>3.7428991695636999</v>
      </c>
      <c r="G17" s="57" t="s">
        <v>170</v>
      </c>
      <c r="H17" s="62">
        <v>25</v>
      </c>
      <c r="I17" s="75">
        <f>25*3.7</f>
        <v>92.5</v>
      </c>
      <c r="J17" s="98">
        <f t="shared" si="11"/>
        <v>3.7</v>
      </c>
      <c r="K17" s="105">
        <f t="shared" si="1"/>
        <v>-1.1461481493422188E-2</v>
      </c>
      <c r="L17" s="61"/>
      <c r="M17" s="67"/>
      <c r="N17" s="68"/>
      <c r="O17" s="95"/>
      <c r="P17" s="70"/>
      <c r="Q17" s="66"/>
      <c r="R17" s="67"/>
      <c r="S17" s="68"/>
      <c r="T17" s="69"/>
      <c r="U17" s="70"/>
    </row>
    <row r="18" spans="1:21" s="1" customFormat="1" ht="22.25" customHeight="1" x14ac:dyDescent="0.2">
      <c r="A18" s="82" t="s">
        <v>52</v>
      </c>
      <c r="B18" s="60" t="s">
        <v>56</v>
      </c>
      <c r="C18" s="17" t="s">
        <v>54</v>
      </c>
      <c r="D18" s="73">
        <v>25</v>
      </c>
      <c r="E18" s="78">
        <v>93.572479239092502</v>
      </c>
      <c r="F18" s="88">
        <v>3.7428991695636999</v>
      </c>
      <c r="G18" s="57" t="s">
        <v>171</v>
      </c>
      <c r="H18" s="62">
        <v>25</v>
      </c>
      <c r="I18" s="75">
        <f>25*3.65</f>
        <v>91.25</v>
      </c>
      <c r="J18" s="98">
        <f t="shared" si="11"/>
        <v>3.65</v>
      </c>
      <c r="K18" s="105">
        <f t="shared" si="1"/>
        <v>-2.482011012188956E-2</v>
      </c>
      <c r="L18" s="61"/>
      <c r="M18" s="67"/>
      <c r="N18" s="68"/>
      <c r="O18" s="95"/>
      <c r="P18" s="70"/>
      <c r="Q18" s="57" t="s">
        <v>156</v>
      </c>
      <c r="R18" s="62">
        <v>25</v>
      </c>
      <c r="S18" s="63">
        <v>114.12</v>
      </c>
      <c r="T18" s="64">
        <f t="shared" si="13"/>
        <v>4.5648</v>
      </c>
      <c r="U18" s="71">
        <f t="shared" si="5"/>
        <v>0.21958935926454748</v>
      </c>
    </row>
    <row r="19" spans="1:21" s="1" customFormat="1" ht="22.25" customHeight="1" thickBot="1" x14ac:dyDescent="0.25">
      <c r="A19" s="82" t="s">
        <v>53</v>
      </c>
      <c r="B19" s="60" t="s">
        <v>57</v>
      </c>
      <c r="C19" s="17" t="s">
        <v>55</v>
      </c>
      <c r="D19" s="73">
        <v>25</v>
      </c>
      <c r="E19" s="79">
        <v>108.28452112390924</v>
      </c>
      <c r="F19" s="90">
        <v>4.33138084495637</v>
      </c>
      <c r="G19" s="57" t="s">
        <v>172</v>
      </c>
      <c r="H19" s="62">
        <v>25</v>
      </c>
      <c r="I19" s="75">
        <f>25*3.95</f>
        <v>98.75</v>
      </c>
      <c r="J19" s="98">
        <f t="shared" si="11"/>
        <v>3.95</v>
      </c>
      <c r="K19" s="105">
        <f t="shared" si="1"/>
        <v>-8.8050637569879076E-2</v>
      </c>
      <c r="L19" s="61"/>
      <c r="M19" s="67"/>
      <c r="N19" s="68"/>
      <c r="O19" s="95"/>
      <c r="P19" s="70"/>
      <c r="Q19" s="66"/>
      <c r="R19" s="67"/>
      <c r="S19" s="68"/>
      <c r="T19" s="69"/>
      <c r="U19" s="70"/>
    </row>
    <row r="20" spans="1:21" s="5" customFormat="1" ht="22.25" customHeight="1" x14ac:dyDescent="0.2">
      <c r="A20" s="83" t="s">
        <v>108</v>
      </c>
      <c r="B20" s="76" t="s">
        <v>58</v>
      </c>
      <c r="C20" s="16">
        <v>151.30000000000001</v>
      </c>
      <c r="D20" s="73">
        <v>25</v>
      </c>
      <c r="E20" s="77">
        <v>56.85583675592121</v>
      </c>
      <c r="F20" s="87">
        <v>2.2742334702368483</v>
      </c>
      <c r="G20" s="56" t="s">
        <v>108</v>
      </c>
      <c r="H20" s="73">
        <v>25</v>
      </c>
      <c r="I20" s="23">
        <f>25*2.25</f>
        <v>56.25</v>
      </c>
      <c r="J20" s="97">
        <f t="shared" ref="J20" si="17">I20/H20</f>
        <v>2.25</v>
      </c>
      <c r="K20" s="105">
        <f t="shared" si="1"/>
        <v>-1.0655665108263768E-2</v>
      </c>
      <c r="L20" s="66"/>
      <c r="M20" s="67"/>
      <c r="N20" s="68"/>
      <c r="O20" s="95"/>
      <c r="P20" s="70"/>
      <c r="Q20" s="66"/>
      <c r="R20" s="67"/>
      <c r="S20" s="68"/>
      <c r="T20" s="69"/>
      <c r="U20" s="70"/>
    </row>
    <row r="21" spans="1:21" s="5" customFormat="1" ht="22.25" customHeight="1" x14ac:dyDescent="0.2">
      <c r="A21" s="83" t="s">
        <v>110</v>
      </c>
      <c r="B21" s="76" t="s">
        <v>90</v>
      </c>
      <c r="C21" s="16" t="s">
        <v>131</v>
      </c>
      <c r="D21" s="73">
        <v>25</v>
      </c>
      <c r="E21" s="78">
        <v>68.758978117177762</v>
      </c>
      <c r="F21" s="88">
        <v>2.7503591246871104</v>
      </c>
      <c r="G21" s="56" t="s">
        <v>110</v>
      </c>
      <c r="H21" s="73">
        <v>25</v>
      </c>
      <c r="I21" s="23">
        <f>25*2.5</f>
        <v>62.5</v>
      </c>
      <c r="J21" s="97">
        <f t="shared" ref="J21:J24" si="18">I21/H21</f>
        <v>2.5</v>
      </c>
      <c r="K21" s="105">
        <f t="shared" si="1"/>
        <v>-9.1027794312348975E-2</v>
      </c>
      <c r="L21" s="66"/>
      <c r="M21" s="67"/>
      <c r="N21" s="68"/>
      <c r="O21" s="95"/>
      <c r="P21" s="70"/>
      <c r="Q21" s="66"/>
      <c r="R21" s="67"/>
      <c r="S21" s="68"/>
      <c r="T21" s="69"/>
      <c r="U21" s="70"/>
    </row>
    <row r="22" spans="1:21" s="1" customFormat="1" ht="22.25" customHeight="1" x14ac:dyDescent="0.2">
      <c r="A22" s="84" t="s">
        <v>109</v>
      </c>
      <c r="B22" s="60" t="s">
        <v>59</v>
      </c>
      <c r="C22" s="16">
        <v>151.4</v>
      </c>
      <c r="D22" s="62">
        <v>25</v>
      </c>
      <c r="E22" s="78">
        <v>68.758978117177762</v>
      </c>
      <c r="F22" s="88">
        <v>2.7503591246871104</v>
      </c>
      <c r="G22" s="57" t="s">
        <v>109</v>
      </c>
      <c r="H22" s="62">
        <v>25</v>
      </c>
      <c r="I22" s="75">
        <f>25*2.5</f>
        <v>62.5</v>
      </c>
      <c r="J22" s="98">
        <f t="shared" ref="J22" si="19">I22/H22</f>
        <v>2.5</v>
      </c>
      <c r="K22" s="105">
        <f t="shared" si="1"/>
        <v>-9.1027794312348975E-2</v>
      </c>
      <c r="L22" s="20" t="s">
        <v>140</v>
      </c>
      <c r="M22" s="62">
        <v>25</v>
      </c>
      <c r="N22" s="63">
        <f>25*2.75</f>
        <v>68.75</v>
      </c>
      <c r="O22" s="94">
        <f t="shared" ref="O22" si="20">N22/M22</f>
        <v>2.75</v>
      </c>
      <c r="P22" s="65">
        <f>(O22/F22)-(1)</f>
        <v>-1.3057374358382834E-4</v>
      </c>
      <c r="Q22" s="66"/>
      <c r="R22" s="67"/>
      <c r="S22" s="68"/>
      <c r="T22" s="69"/>
      <c r="U22" s="70"/>
    </row>
    <row r="23" spans="1:21" s="1" customFormat="1" ht="22.25" customHeight="1" x14ac:dyDescent="0.2">
      <c r="A23" s="84" t="s">
        <v>111</v>
      </c>
      <c r="B23" s="60" t="s">
        <v>89</v>
      </c>
      <c r="C23" s="16" t="s">
        <v>130</v>
      </c>
      <c r="D23" s="62">
        <v>25</v>
      </c>
      <c r="E23" s="78">
        <v>71.515522619795561</v>
      </c>
      <c r="F23" s="88">
        <v>2.8606209047918223</v>
      </c>
      <c r="G23" s="57" t="s">
        <v>111</v>
      </c>
      <c r="H23" s="62">
        <v>25</v>
      </c>
      <c r="I23" s="75">
        <f>25*2.75</f>
        <v>68.75</v>
      </c>
      <c r="J23" s="98">
        <f t="shared" si="18"/>
        <v>2.75</v>
      </c>
      <c r="K23" s="105">
        <f t="shared" si="1"/>
        <v>-3.8670242745734495E-2</v>
      </c>
      <c r="L23" s="66"/>
      <c r="M23" s="67"/>
      <c r="N23" s="68"/>
      <c r="O23" s="95"/>
      <c r="P23" s="70"/>
      <c r="Q23" s="57" t="s">
        <v>135</v>
      </c>
      <c r="R23" s="62">
        <v>25</v>
      </c>
      <c r="S23" s="63">
        <v>65.94</v>
      </c>
      <c r="T23" s="21">
        <f t="shared" ref="T23" si="21">S23/R23</f>
        <v>2.6375999999999999</v>
      </c>
      <c r="U23" s="65">
        <f t="shared" si="5"/>
        <v>-7.796241173314522E-2</v>
      </c>
    </row>
    <row r="24" spans="1:21" s="1" customFormat="1" ht="22.25" customHeight="1" x14ac:dyDescent="0.2">
      <c r="A24" s="84" t="s">
        <v>112</v>
      </c>
      <c r="B24" s="60" t="s">
        <v>60</v>
      </c>
      <c r="C24" s="16">
        <v>151.5</v>
      </c>
      <c r="D24" s="62">
        <v>25</v>
      </c>
      <c r="E24" s="78">
        <v>71.515522619795561</v>
      </c>
      <c r="F24" s="88">
        <v>2.8606209047918223</v>
      </c>
      <c r="G24" s="57" t="s">
        <v>112</v>
      </c>
      <c r="H24" s="62">
        <v>25</v>
      </c>
      <c r="I24" s="75">
        <f>25*2.7</f>
        <v>67.5</v>
      </c>
      <c r="J24" s="98">
        <f t="shared" si="18"/>
        <v>2.7</v>
      </c>
      <c r="K24" s="105">
        <f t="shared" si="1"/>
        <v>-5.6148965604902901E-2</v>
      </c>
      <c r="L24" s="20" t="s">
        <v>144</v>
      </c>
      <c r="M24" s="62">
        <v>25</v>
      </c>
      <c r="N24" s="63">
        <f>25*3.66</f>
        <v>91.5</v>
      </c>
      <c r="O24" s="94">
        <f t="shared" ref="O24" si="22">N24/M24</f>
        <v>3.66</v>
      </c>
      <c r="P24" s="71">
        <f>(O24/F24)-(1)</f>
        <v>0.27944251329113157</v>
      </c>
      <c r="Q24" s="66"/>
      <c r="R24" s="67"/>
      <c r="S24" s="68"/>
      <c r="T24" s="69"/>
      <c r="U24" s="70"/>
    </row>
    <row r="25" spans="1:21" s="1" customFormat="1" ht="22.25" customHeight="1" x14ac:dyDescent="0.2">
      <c r="A25" s="84" t="s">
        <v>113</v>
      </c>
      <c r="B25" s="60" t="s">
        <v>61</v>
      </c>
      <c r="C25" s="16" t="s">
        <v>75</v>
      </c>
      <c r="D25" s="62">
        <v>25</v>
      </c>
      <c r="E25" s="78">
        <v>75.834894347544264</v>
      </c>
      <c r="F25" s="88">
        <v>3.0333957739017707</v>
      </c>
      <c r="G25" s="57" t="s">
        <v>113</v>
      </c>
      <c r="H25" s="62">
        <v>25</v>
      </c>
      <c r="I25" s="75">
        <f>25*2.95</f>
        <v>73.75</v>
      </c>
      <c r="J25" s="98">
        <f>I25/H25</f>
        <v>2.95</v>
      </c>
      <c r="K25" s="105">
        <f t="shared" si="1"/>
        <v>-2.7492546346664426E-2</v>
      </c>
      <c r="L25" s="20" t="s">
        <v>136</v>
      </c>
      <c r="M25" s="62">
        <v>25</v>
      </c>
      <c r="N25" s="63">
        <f>25*4.45</f>
        <v>111.25</v>
      </c>
      <c r="O25" s="94">
        <f>N25/M25</f>
        <v>4.45</v>
      </c>
      <c r="P25" s="71">
        <f>(O25/F25)-(1)</f>
        <v>0.46700276907028582</v>
      </c>
      <c r="Q25" s="57" t="s">
        <v>134</v>
      </c>
      <c r="R25" s="62">
        <v>25</v>
      </c>
      <c r="S25" s="63">
        <v>68.75</v>
      </c>
      <c r="T25" s="21">
        <f t="shared" ref="T25" si="23">S25/R25</f>
        <v>2.75</v>
      </c>
      <c r="U25" s="65">
        <f t="shared" si="5"/>
        <v>-9.3425255068924518E-2</v>
      </c>
    </row>
    <row r="26" spans="1:21" s="1" customFormat="1" ht="22.25" customHeight="1" x14ac:dyDescent="0.2">
      <c r="A26" s="84" t="s">
        <v>114</v>
      </c>
      <c r="B26" s="60" t="s">
        <v>62</v>
      </c>
      <c r="C26" s="16">
        <v>151.6</v>
      </c>
      <c r="D26" s="62">
        <v>25</v>
      </c>
      <c r="E26" s="78">
        <v>75.834894347544264</v>
      </c>
      <c r="F26" s="88">
        <v>3.0333957739017707</v>
      </c>
      <c r="G26" s="57" t="s">
        <v>114</v>
      </c>
      <c r="H26" s="62">
        <v>25</v>
      </c>
      <c r="I26" s="75">
        <f>25*2.9</f>
        <v>72.5</v>
      </c>
      <c r="J26" s="98">
        <f>I26/H26</f>
        <v>2.9</v>
      </c>
      <c r="K26" s="105">
        <f t="shared" si="1"/>
        <v>-4.397572352722956E-2</v>
      </c>
      <c r="L26" s="20" t="s">
        <v>139</v>
      </c>
      <c r="M26" s="62">
        <v>25</v>
      </c>
      <c r="N26" s="63">
        <f>25*4.19</f>
        <v>104.75000000000001</v>
      </c>
      <c r="O26" s="94">
        <f>N26/M26</f>
        <v>4.1900000000000004</v>
      </c>
      <c r="P26" s="71">
        <f>(O26/F26)-(1)</f>
        <v>0.38129024773134779</v>
      </c>
      <c r="Q26" s="66"/>
      <c r="R26" s="67"/>
      <c r="S26" s="68"/>
      <c r="T26" s="69"/>
      <c r="U26" s="70"/>
    </row>
    <row r="27" spans="1:21" s="1" customFormat="1" ht="22.25" customHeight="1" x14ac:dyDescent="0.2">
      <c r="A27" s="84" t="s">
        <v>126</v>
      </c>
      <c r="B27" s="60" t="s">
        <v>63</v>
      </c>
      <c r="C27" s="16" t="s">
        <v>76</v>
      </c>
      <c r="D27" s="62">
        <v>25</v>
      </c>
      <c r="E27" s="78">
        <v>80.154266075292952</v>
      </c>
      <c r="F27" s="88">
        <v>3.2061706430117183</v>
      </c>
      <c r="G27" s="57" t="s">
        <v>126</v>
      </c>
      <c r="H27" s="62">
        <v>25</v>
      </c>
      <c r="I27" s="75">
        <f>25*3.15</f>
        <v>78.75</v>
      </c>
      <c r="J27" s="98">
        <f t="shared" ref="J27:J38" si="24">I27/H27</f>
        <v>3.15</v>
      </c>
      <c r="K27" s="105">
        <f t="shared" si="1"/>
        <v>-1.751954255278021E-2</v>
      </c>
      <c r="L27" s="66"/>
      <c r="M27" s="67"/>
      <c r="N27" s="68"/>
      <c r="O27" s="95"/>
      <c r="P27" s="72"/>
      <c r="Q27" s="57" t="s">
        <v>133</v>
      </c>
      <c r="R27" s="62">
        <v>25</v>
      </c>
      <c r="S27" s="63">
        <v>75.63</v>
      </c>
      <c r="T27" s="21">
        <f t="shared" ref="T27" si="25">S27/R27</f>
        <v>3.0251999999999999</v>
      </c>
      <c r="U27" s="65">
        <f t="shared" si="5"/>
        <v>-5.6444482581165301E-2</v>
      </c>
    </row>
    <row r="28" spans="1:21" s="1" customFormat="1" ht="22.25" customHeight="1" x14ac:dyDescent="0.2">
      <c r="A28" s="84" t="s">
        <v>115</v>
      </c>
      <c r="B28" s="60" t="s">
        <v>64</v>
      </c>
      <c r="C28" s="16">
        <v>151.69999999999999</v>
      </c>
      <c r="D28" s="62">
        <v>25</v>
      </c>
      <c r="E28" s="78">
        <v>80.154266075292952</v>
      </c>
      <c r="F28" s="88">
        <v>3.2061706430117183</v>
      </c>
      <c r="G28" s="57" t="s">
        <v>115</v>
      </c>
      <c r="H28" s="62">
        <v>25</v>
      </c>
      <c r="I28" s="75">
        <f>25*3.1</f>
        <v>77.5</v>
      </c>
      <c r="J28" s="98">
        <f t="shared" si="24"/>
        <v>3.1</v>
      </c>
      <c r="K28" s="105">
        <f t="shared" si="1"/>
        <v>-3.3114470448767697E-2</v>
      </c>
      <c r="L28" s="20" t="s">
        <v>142</v>
      </c>
      <c r="M28" s="62">
        <v>25</v>
      </c>
      <c r="N28" s="63">
        <f>25*4.05</f>
        <v>101.25</v>
      </c>
      <c r="O28" s="94">
        <f t="shared" ref="O28:O38" si="26">N28/M28</f>
        <v>4.05</v>
      </c>
      <c r="P28" s="71">
        <f>(O28/F28)-(1)</f>
        <v>0.26318915957499689</v>
      </c>
      <c r="Q28" s="70"/>
      <c r="R28" s="70"/>
      <c r="S28" s="70"/>
      <c r="T28" s="70"/>
      <c r="U28" s="70"/>
    </row>
    <row r="29" spans="1:21" s="1" customFormat="1" ht="22.25" customHeight="1" x14ac:dyDescent="0.2">
      <c r="A29" s="84" t="s">
        <v>116</v>
      </c>
      <c r="B29" s="60" t="s">
        <v>65</v>
      </c>
      <c r="C29" s="16" t="s">
        <v>77</v>
      </c>
      <c r="D29" s="62">
        <v>25</v>
      </c>
      <c r="E29" s="78">
        <v>87.353218954874094</v>
      </c>
      <c r="F29" s="88">
        <v>3.4941287581949636</v>
      </c>
      <c r="G29" s="57" t="s">
        <v>116</v>
      </c>
      <c r="H29" s="62">
        <v>25</v>
      </c>
      <c r="I29" s="75">
        <f>25*3.55</f>
        <v>88.75</v>
      </c>
      <c r="J29" s="98">
        <f t="shared" si="24"/>
        <v>3.55</v>
      </c>
      <c r="K29" s="104">
        <f t="shared" si="1"/>
        <v>1.5990035190889484E-2</v>
      </c>
      <c r="L29" s="66"/>
      <c r="M29" s="67"/>
      <c r="N29" s="68"/>
      <c r="O29" s="95"/>
      <c r="P29" s="72"/>
      <c r="Q29" s="70"/>
      <c r="R29" s="70"/>
      <c r="S29" s="70"/>
      <c r="T29" s="70"/>
      <c r="U29" s="70"/>
    </row>
    <row r="30" spans="1:21" s="1" customFormat="1" ht="22.25" customHeight="1" x14ac:dyDescent="0.2">
      <c r="A30" s="84" t="s">
        <v>117</v>
      </c>
      <c r="B30" s="60" t="s">
        <v>66</v>
      </c>
      <c r="C30" s="16">
        <v>151.80000000000001</v>
      </c>
      <c r="D30" s="62">
        <v>25</v>
      </c>
      <c r="E30" s="78">
        <v>87.353218954874094</v>
      </c>
      <c r="F30" s="88">
        <v>3.4941287581949636</v>
      </c>
      <c r="G30" s="57" t="s">
        <v>117</v>
      </c>
      <c r="H30" s="62">
        <v>25</v>
      </c>
      <c r="I30" s="75">
        <f>25*3.5</f>
        <v>87.5</v>
      </c>
      <c r="J30" s="98">
        <f t="shared" si="24"/>
        <v>3.5</v>
      </c>
      <c r="K30" s="104">
        <f t="shared" si="1"/>
        <v>1.6803163853840175E-3</v>
      </c>
      <c r="L30" s="20" t="s">
        <v>145</v>
      </c>
      <c r="M30" s="62">
        <v>25</v>
      </c>
      <c r="N30" s="63">
        <f>25*3.7</f>
        <v>92.5</v>
      </c>
      <c r="O30" s="94">
        <f t="shared" si="26"/>
        <v>3.7</v>
      </c>
      <c r="P30" s="71">
        <f>(O30/F30)-(1)</f>
        <v>5.8919191607405885E-2</v>
      </c>
      <c r="Q30" s="70"/>
      <c r="R30" s="70"/>
      <c r="S30" s="70"/>
      <c r="T30" s="70"/>
      <c r="U30" s="70"/>
    </row>
    <row r="31" spans="1:21" s="1" customFormat="1" ht="22.25" customHeight="1" x14ac:dyDescent="0.2">
      <c r="A31" s="84" t="s">
        <v>125</v>
      </c>
      <c r="B31" s="60" t="s">
        <v>67</v>
      </c>
      <c r="C31" s="16" t="s">
        <v>78</v>
      </c>
      <c r="D31" s="62">
        <v>25</v>
      </c>
      <c r="E31" s="78">
        <v>91.672590682622797</v>
      </c>
      <c r="F31" s="88">
        <v>3.666903627304912</v>
      </c>
      <c r="G31" s="57" t="s">
        <v>125</v>
      </c>
      <c r="H31" s="62">
        <v>25</v>
      </c>
      <c r="I31" s="75">
        <f>25*3.75</f>
        <v>93.75</v>
      </c>
      <c r="J31" s="98">
        <f t="shared" si="24"/>
        <v>3.75</v>
      </c>
      <c r="K31" s="104">
        <f t="shared" si="1"/>
        <v>2.2661182605489438E-2</v>
      </c>
      <c r="L31" s="66"/>
      <c r="M31" s="67"/>
      <c r="N31" s="68"/>
      <c r="O31" s="95"/>
      <c r="P31" s="70"/>
      <c r="Q31" s="57" t="s">
        <v>132</v>
      </c>
      <c r="R31" s="62">
        <v>25</v>
      </c>
      <c r="S31" s="63">
        <v>88</v>
      </c>
      <c r="T31" s="21">
        <f t="shared" ref="T31:T34" si="27">S31/R31</f>
        <v>3.52</v>
      </c>
      <c r="U31" s="65">
        <f t="shared" si="5"/>
        <v>-4.0062036594313954E-2</v>
      </c>
    </row>
    <row r="32" spans="1:21" s="1" customFormat="1" ht="22.25" customHeight="1" x14ac:dyDescent="0.2">
      <c r="A32" s="84" t="s">
        <v>118</v>
      </c>
      <c r="B32" s="60" t="s">
        <v>68</v>
      </c>
      <c r="C32" s="16">
        <v>151.9</v>
      </c>
      <c r="D32" s="62">
        <v>25</v>
      </c>
      <c r="E32" s="78">
        <v>91.672590682622797</v>
      </c>
      <c r="F32" s="88">
        <v>3.666903627304912</v>
      </c>
      <c r="G32" s="57" t="s">
        <v>118</v>
      </c>
      <c r="H32" s="62">
        <v>25</v>
      </c>
      <c r="I32" s="75">
        <f>25*3.7</f>
        <v>92.5</v>
      </c>
      <c r="J32" s="98">
        <f t="shared" si="24"/>
        <v>3.7</v>
      </c>
      <c r="K32" s="104">
        <f t="shared" si="1"/>
        <v>9.025700170749662E-3</v>
      </c>
      <c r="L32" s="20" t="s">
        <v>141</v>
      </c>
      <c r="M32" s="62">
        <v>25</v>
      </c>
      <c r="N32" s="63">
        <f>25*5.25</f>
        <v>131.25</v>
      </c>
      <c r="O32" s="94">
        <f t="shared" si="26"/>
        <v>5.25</v>
      </c>
      <c r="P32" s="71">
        <f>(O32/F32)-(1)</f>
        <v>0.43172565564768517</v>
      </c>
      <c r="Q32" s="70"/>
      <c r="R32" s="70"/>
      <c r="S32" s="70"/>
      <c r="T32" s="70"/>
      <c r="U32" s="70"/>
    </row>
    <row r="33" spans="1:21" s="1" customFormat="1" ht="22.25" customHeight="1" x14ac:dyDescent="0.2">
      <c r="A33" s="84" t="s">
        <v>119</v>
      </c>
      <c r="B33" s="60" t="s">
        <v>69</v>
      </c>
      <c r="C33" s="16" t="s">
        <v>79</v>
      </c>
      <c r="D33" s="62">
        <v>25</v>
      </c>
      <c r="E33" s="78">
        <v>95.991962410371485</v>
      </c>
      <c r="F33" s="88">
        <v>3.8396784964148596</v>
      </c>
      <c r="G33" s="57" t="s">
        <v>119</v>
      </c>
      <c r="H33" s="62">
        <v>25</v>
      </c>
      <c r="I33" s="75">
        <f>25*3.95</f>
        <v>98.75</v>
      </c>
      <c r="J33" s="98">
        <f t="shared" si="24"/>
        <v>3.95</v>
      </c>
      <c r="K33" s="104">
        <f t="shared" si="1"/>
        <v>2.8731963805862515E-2</v>
      </c>
      <c r="L33" s="66"/>
      <c r="M33" s="67"/>
      <c r="N33" s="68"/>
      <c r="O33" s="95"/>
      <c r="P33" s="70"/>
      <c r="Q33" s="57" t="s">
        <v>129</v>
      </c>
      <c r="R33" s="62">
        <v>25</v>
      </c>
      <c r="S33" s="63">
        <v>94.83</v>
      </c>
      <c r="T33" s="21">
        <f t="shared" si="27"/>
        <v>3.7932000000000001</v>
      </c>
      <c r="U33" s="65">
        <f t="shared" si="5"/>
        <v>-1.2104788580152404E-2</v>
      </c>
    </row>
    <row r="34" spans="1:21" s="1" customFormat="1" ht="22.25" customHeight="1" x14ac:dyDescent="0.2">
      <c r="A34" s="84" t="s">
        <v>120</v>
      </c>
      <c r="B34" s="60" t="s">
        <v>70</v>
      </c>
      <c r="C34" s="18" t="s">
        <v>80</v>
      </c>
      <c r="D34" s="62">
        <v>25</v>
      </c>
      <c r="E34" s="78">
        <v>95.991962410371485</v>
      </c>
      <c r="F34" s="88">
        <v>3.8396784964148596</v>
      </c>
      <c r="G34" s="57" t="s">
        <v>120</v>
      </c>
      <c r="H34" s="62">
        <v>25</v>
      </c>
      <c r="I34" s="75">
        <f>25*3.9</f>
        <v>97.5</v>
      </c>
      <c r="J34" s="98">
        <f t="shared" si="24"/>
        <v>3.9</v>
      </c>
      <c r="K34" s="104">
        <f t="shared" si="1"/>
        <v>1.5710040213383181E-2</v>
      </c>
      <c r="L34" s="20" t="s">
        <v>146</v>
      </c>
      <c r="M34" s="62">
        <v>25</v>
      </c>
      <c r="N34" s="63">
        <f>25*4.34</f>
        <v>108.5</v>
      </c>
      <c r="O34" s="94">
        <f t="shared" si="26"/>
        <v>4.34</v>
      </c>
      <c r="P34" s="71">
        <f>(O34/F34)-(1)</f>
        <v>0.13030296782720074</v>
      </c>
      <c r="Q34" s="57" t="s">
        <v>128</v>
      </c>
      <c r="R34" s="62">
        <v>25</v>
      </c>
      <c r="S34" s="63">
        <v>103.13</v>
      </c>
      <c r="T34" s="74">
        <f t="shared" si="27"/>
        <v>4.1251999999999995</v>
      </c>
      <c r="U34" s="71">
        <f t="shared" si="5"/>
        <v>7.436078407390978E-2</v>
      </c>
    </row>
    <row r="35" spans="1:21" s="1" customFormat="1" ht="22.25" customHeight="1" x14ac:dyDescent="0.2">
      <c r="A35" s="84" t="s">
        <v>121</v>
      </c>
      <c r="B35" s="60" t="s">
        <v>71</v>
      </c>
      <c r="C35" s="16" t="s">
        <v>81</v>
      </c>
      <c r="D35" s="62">
        <v>25</v>
      </c>
      <c r="E35" s="78">
        <v>100.31133413812017</v>
      </c>
      <c r="F35" s="88">
        <v>4.0124533655248067</v>
      </c>
      <c r="G35" s="57" t="s">
        <v>121</v>
      </c>
      <c r="H35" s="62">
        <v>25</v>
      </c>
      <c r="I35" s="75">
        <f>25*4.15</f>
        <v>103.75000000000001</v>
      </c>
      <c r="J35" s="98">
        <f t="shared" si="24"/>
        <v>4.1500000000000004</v>
      </c>
      <c r="K35" s="104">
        <f t="shared" si="1"/>
        <v>3.4279933483339908E-2</v>
      </c>
      <c r="L35" s="20" t="s">
        <v>137</v>
      </c>
      <c r="M35" s="62">
        <v>25</v>
      </c>
      <c r="N35" s="63">
        <f>25*6.33</f>
        <v>158.25</v>
      </c>
      <c r="O35" s="94">
        <f t="shared" si="26"/>
        <v>6.33</v>
      </c>
      <c r="P35" s="71">
        <f>(O35/F35)-(1)</f>
        <v>0.5775884286625399</v>
      </c>
      <c r="Q35" s="57" t="s">
        <v>127</v>
      </c>
      <c r="R35" s="62">
        <v>25</v>
      </c>
      <c r="S35" s="63">
        <v>103.13</v>
      </c>
      <c r="T35" s="74">
        <f t="shared" ref="T35" si="28">S35/R35</f>
        <v>4.1251999999999995</v>
      </c>
      <c r="U35" s="71">
        <f t="shared" si="5"/>
        <v>2.8099176290475425E-2</v>
      </c>
    </row>
    <row r="36" spans="1:21" s="1" customFormat="1" ht="22.25" customHeight="1" x14ac:dyDescent="0.2">
      <c r="A36" s="84" t="s">
        <v>122</v>
      </c>
      <c r="B36" s="60" t="s">
        <v>72</v>
      </c>
      <c r="C36" s="16">
        <v>151.11000000000001</v>
      </c>
      <c r="D36" s="62">
        <v>25</v>
      </c>
      <c r="E36" s="78">
        <v>114.30871633707304</v>
      </c>
      <c r="F36" s="88">
        <v>4.5723486534829219</v>
      </c>
      <c r="G36" s="57" t="s">
        <v>122</v>
      </c>
      <c r="H36" s="62">
        <v>25</v>
      </c>
      <c r="I36" s="75">
        <f>25*4.15</f>
        <v>103.75000000000001</v>
      </c>
      <c r="J36" s="101">
        <f t="shared" si="24"/>
        <v>4.1500000000000004</v>
      </c>
      <c r="K36" s="105">
        <f t="shared" si="1"/>
        <v>-9.2370176793321157E-2</v>
      </c>
      <c r="L36" s="20" t="s">
        <v>143</v>
      </c>
      <c r="M36" s="62">
        <v>25</v>
      </c>
      <c r="N36" s="63">
        <f>25*5.77</f>
        <v>144.25</v>
      </c>
      <c r="O36" s="94">
        <f t="shared" si="26"/>
        <v>5.77</v>
      </c>
      <c r="P36" s="71">
        <f>(O36/F36)-(1)</f>
        <v>0.26193351322952685</v>
      </c>
      <c r="Q36" s="70"/>
      <c r="R36" s="70"/>
      <c r="S36" s="70"/>
      <c r="T36" s="70"/>
      <c r="U36" s="70"/>
    </row>
    <row r="37" spans="1:21" s="1" customFormat="1" ht="22.25" customHeight="1" x14ac:dyDescent="0.2">
      <c r="A37" s="84" t="s">
        <v>123</v>
      </c>
      <c r="B37" s="60" t="s">
        <v>73</v>
      </c>
      <c r="C37" s="17" t="s">
        <v>82</v>
      </c>
      <c r="D37" s="73">
        <v>25</v>
      </c>
      <c r="E37" s="78">
        <v>121.11499905958615</v>
      </c>
      <c r="F37" s="88">
        <v>4.8445999623834464</v>
      </c>
      <c r="G37" s="57" t="s">
        <v>123</v>
      </c>
      <c r="H37" s="62">
        <v>25</v>
      </c>
      <c r="I37" s="75">
        <f>25*4.4</f>
        <v>110.00000000000001</v>
      </c>
      <c r="J37" s="101">
        <f t="shared" si="24"/>
        <v>4.4000000000000004</v>
      </c>
      <c r="K37" s="105">
        <f t="shared" si="1"/>
        <v>-9.1772275489328869E-2</v>
      </c>
      <c r="L37" s="66"/>
      <c r="M37" s="67"/>
      <c r="N37" s="68"/>
      <c r="O37" s="95"/>
      <c r="P37" s="70"/>
      <c r="Q37" s="70"/>
      <c r="R37" s="70"/>
      <c r="S37" s="70"/>
      <c r="T37" s="70"/>
      <c r="U37" s="70"/>
    </row>
    <row r="38" spans="1:21" s="1" customFormat="1" ht="22.25" customHeight="1" thickBot="1" x14ac:dyDescent="0.25">
      <c r="A38" s="84" t="s">
        <v>124</v>
      </c>
      <c r="B38" s="60" t="s">
        <v>74</v>
      </c>
      <c r="C38" s="16">
        <v>151.12</v>
      </c>
      <c r="D38" s="62">
        <v>25</v>
      </c>
      <c r="E38" s="79">
        <v>119.80609853602591</v>
      </c>
      <c r="F38" s="90">
        <v>4.7922439414410363</v>
      </c>
      <c r="G38" s="57" t="s">
        <v>124</v>
      </c>
      <c r="H38" s="62">
        <v>25</v>
      </c>
      <c r="I38" s="75">
        <f>25*4.35</f>
        <v>108.74999999999999</v>
      </c>
      <c r="J38" s="101">
        <f t="shared" si="24"/>
        <v>4.3499999999999996</v>
      </c>
      <c r="K38" s="105">
        <f t="shared" si="1"/>
        <v>-9.2283269976455529E-2</v>
      </c>
      <c r="L38" s="20" t="s">
        <v>138</v>
      </c>
      <c r="M38" s="62">
        <v>25</v>
      </c>
      <c r="N38" s="63">
        <f>25*5.25</f>
        <v>131.25</v>
      </c>
      <c r="O38" s="94">
        <f t="shared" si="26"/>
        <v>5.25</v>
      </c>
      <c r="P38" s="71">
        <f>(O38/F38)-(1)</f>
        <v>9.5520191407726163E-2</v>
      </c>
      <c r="Q38" s="70"/>
      <c r="R38" s="70"/>
      <c r="S38" s="70"/>
      <c r="T38" s="70"/>
      <c r="U38" s="70"/>
    </row>
    <row r="39" spans="1:21" s="1" customFormat="1" ht="22.25" customHeight="1" x14ac:dyDescent="0.2">
      <c r="A39" s="82" t="s">
        <v>96</v>
      </c>
      <c r="B39" s="60" t="s">
        <v>85</v>
      </c>
      <c r="C39" s="16">
        <v>153.4</v>
      </c>
      <c r="D39" s="62">
        <v>25</v>
      </c>
      <c r="E39" s="77">
        <v>114.19379487110447</v>
      </c>
      <c r="F39" s="87">
        <v>4.5677517948441793</v>
      </c>
      <c r="G39" s="57" t="s">
        <v>101</v>
      </c>
      <c r="H39" s="62">
        <v>25</v>
      </c>
      <c r="I39" s="63">
        <f>25*4.15</f>
        <v>103.75000000000001</v>
      </c>
      <c r="J39" s="101">
        <f t="shared" ref="J39:J40" si="29">I39/H39</f>
        <v>4.1500000000000004</v>
      </c>
      <c r="K39" s="105">
        <f t="shared" si="1"/>
        <v>-9.145676332845265E-2</v>
      </c>
      <c r="L39" s="106"/>
      <c r="M39" s="67"/>
      <c r="N39" s="68"/>
      <c r="O39" s="95"/>
      <c r="P39" s="70"/>
      <c r="Q39" s="66"/>
      <c r="R39" s="67"/>
      <c r="S39" s="68"/>
      <c r="T39" s="69"/>
      <c r="U39" s="70"/>
    </row>
    <row r="40" spans="1:21" s="1" customFormat="1" ht="22.25" customHeight="1" x14ac:dyDescent="0.2">
      <c r="A40" s="82" t="s">
        <v>97</v>
      </c>
      <c r="B40" s="60" t="s">
        <v>86</v>
      </c>
      <c r="C40" s="16">
        <v>153.5</v>
      </c>
      <c r="D40" s="62">
        <v>25</v>
      </c>
      <c r="E40" s="78">
        <v>118.12049644178509</v>
      </c>
      <c r="F40" s="88">
        <v>4.7248198576714033</v>
      </c>
      <c r="G40" s="57" t="s">
        <v>102</v>
      </c>
      <c r="H40" s="62">
        <v>25</v>
      </c>
      <c r="I40" s="63">
        <f>25*4.3</f>
        <v>107.5</v>
      </c>
      <c r="J40" s="101">
        <f t="shared" si="29"/>
        <v>4.3</v>
      </c>
      <c r="K40" s="105">
        <f t="shared" si="1"/>
        <v>-8.9912392528923468E-2</v>
      </c>
      <c r="L40" s="106"/>
      <c r="M40" s="67"/>
      <c r="N40" s="68"/>
      <c r="O40" s="95"/>
      <c r="P40" s="70"/>
      <c r="Q40" s="57" t="s">
        <v>99</v>
      </c>
      <c r="R40" s="62">
        <v>25</v>
      </c>
      <c r="S40" s="63">
        <v>154</v>
      </c>
      <c r="T40" s="64">
        <f>S40/R40</f>
        <v>6.16</v>
      </c>
      <c r="U40" s="71">
        <f t="shared" si="5"/>
        <v>0.30375340977251897</v>
      </c>
    </row>
    <row r="41" spans="1:21" s="1" customFormat="1" ht="22.25" customHeight="1" x14ac:dyDescent="0.2">
      <c r="A41" s="82" t="s">
        <v>98</v>
      </c>
      <c r="B41" s="60" t="s">
        <v>87</v>
      </c>
      <c r="C41" s="16">
        <v>153.6</v>
      </c>
      <c r="D41" s="62">
        <v>25</v>
      </c>
      <c r="E41" s="78">
        <v>125.1919624103715</v>
      </c>
      <c r="F41" s="88">
        <v>5.0076784964148597</v>
      </c>
      <c r="G41" s="57" t="s">
        <v>103</v>
      </c>
      <c r="H41" s="62">
        <v>25</v>
      </c>
      <c r="I41" s="63">
        <f>25*4.55</f>
        <v>113.75</v>
      </c>
      <c r="J41" s="98">
        <f>I41/H41</f>
        <v>4.55</v>
      </c>
      <c r="K41" s="105">
        <f t="shared" si="1"/>
        <v>-9.1395343519462213E-2</v>
      </c>
      <c r="L41" s="106"/>
      <c r="M41" s="67"/>
      <c r="N41" s="68"/>
      <c r="O41" s="95"/>
      <c r="P41" s="70"/>
      <c r="Q41" s="57" t="s">
        <v>100</v>
      </c>
      <c r="R41" s="62">
        <v>25</v>
      </c>
      <c r="S41" s="63">
        <v>162.93</v>
      </c>
      <c r="T41" s="64">
        <f t="shared" ref="T41" si="30">S41/R41</f>
        <v>6.5171999999999999</v>
      </c>
      <c r="U41" s="71">
        <f>(T41/F41)-(1)</f>
        <v>0.30144137740988164</v>
      </c>
    </row>
    <row r="42" spans="1:21" s="1" customFormat="1" ht="30.75" customHeight="1" x14ac:dyDescent="0.2">
      <c r="A42" s="59" t="s">
        <v>234</v>
      </c>
      <c r="B42" s="60" t="s">
        <v>92</v>
      </c>
      <c r="C42" s="16" t="s">
        <v>91</v>
      </c>
      <c r="D42" s="62">
        <v>25</v>
      </c>
      <c r="E42" s="78">
        <v>134.87442314335578</v>
      </c>
      <c r="F42" s="88">
        <v>5.3949769257342313</v>
      </c>
      <c r="G42" s="57" t="s">
        <v>104</v>
      </c>
      <c r="H42" s="62">
        <v>25</v>
      </c>
      <c r="I42" s="63">
        <f>25*4.9</f>
        <v>122.50000000000001</v>
      </c>
      <c r="J42" s="101">
        <f t="shared" ref="J42:J45" si="31">I42/H42</f>
        <v>4.9000000000000004</v>
      </c>
      <c r="K42" s="105">
        <f t="shared" si="1"/>
        <v>-9.1747737302299348E-2</v>
      </c>
      <c r="L42" s="106"/>
      <c r="M42" s="67"/>
      <c r="N42" s="68"/>
      <c r="O42" s="95"/>
      <c r="P42" s="70"/>
      <c r="Q42" s="66"/>
      <c r="R42" s="67"/>
      <c r="S42" s="68"/>
      <c r="T42" s="69"/>
      <c r="U42" s="70"/>
    </row>
    <row r="43" spans="1:21" s="1" customFormat="1" ht="22.25" customHeight="1" x14ac:dyDescent="0.2">
      <c r="A43" s="82" t="s">
        <v>83</v>
      </c>
      <c r="B43" s="60" t="s">
        <v>88</v>
      </c>
      <c r="C43" s="16">
        <v>153.80000000000001</v>
      </c>
      <c r="D43" s="62">
        <v>25</v>
      </c>
      <c r="E43" s="78">
        <v>140.37180534230868</v>
      </c>
      <c r="F43" s="88">
        <v>5.6148722136923475</v>
      </c>
      <c r="G43" s="57" t="s">
        <v>105</v>
      </c>
      <c r="H43" s="62">
        <v>25</v>
      </c>
      <c r="I43" s="63">
        <f>25*5.1</f>
        <v>127.49999999999999</v>
      </c>
      <c r="J43" s="101">
        <f t="shared" si="31"/>
        <v>5.0999999999999996</v>
      </c>
      <c r="K43" s="105">
        <f t="shared" si="1"/>
        <v>-9.1697939703202502E-2</v>
      </c>
      <c r="L43" s="106"/>
      <c r="M43" s="67"/>
      <c r="N43" s="68"/>
      <c r="O43" s="95"/>
      <c r="P43" s="70"/>
      <c r="Q43" s="66"/>
      <c r="R43" s="67"/>
      <c r="S43" s="68"/>
      <c r="T43" s="69"/>
      <c r="U43" s="70"/>
    </row>
    <row r="44" spans="1:21" s="1" customFormat="1" ht="27.75" customHeight="1" x14ac:dyDescent="0.2">
      <c r="A44" s="58" t="s">
        <v>233</v>
      </c>
      <c r="B44" s="60" t="s">
        <v>93</v>
      </c>
      <c r="C44" s="16" t="s">
        <v>94</v>
      </c>
      <c r="D44" s="62">
        <v>25</v>
      </c>
      <c r="E44" s="78">
        <v>155.81683152031914</v>
      </c>
      <c r="F44" s="88">
        <v>6.2326732608127653</v>
      </c>
      <c r="G44" s="57" t="s">
        <v>106</v>
      </c>
      <c r="H44" s="62">
        <v>25</v>
      </c>
      <c r="I44" s="63">
        <f>25*5.65</f>
        <v>141.25</v>
      </c>
      <c r="J44" s="101">
        <f t="shared" si="31"/>
        <v>5.65</v>
      </c>
      <c r="K44" s="102">
        <f t="shared" si="1"/>
        <v>-9.3486893413177619E-2</v>
      </c>
      <c r="L44" s="106"/>
      <c r="M44" s="67"/>
      <c r="N44" s="68"/>
      <c r="O44" s="95"/>
      <c r="P44" s="70"/>
      <c r="Q44" s="66"/>
      <c r="R44" s="67"/>
      <c r="S44" s="68"/>
      <c r="T44" s="69"/>
      <c r="U44" s="70"/>
    </row>
    <row r="45" spans="1:21" s="1" customFormat="1" ht="22.25" customHeight="1" thickBot="1" x14ac:dyDescent="0.25">
      <c r="A45" s="82" t="s">
        <v>95</v>
      </c>
      <c r="B45" s="60" t="s">
        <v>70</v>
      </c>
      <c r="C45" s="18" t="s">
        <v>84</v>
      </c>
      <c r="D45" s="62">
        <v>25</v>
      </c>
      <c r="E45" s="79">
        <v>153.98437078733485</v>
      </c>
      <c r="F45" s="90">
        <v>6.1593748314933938</v>
      </c>
      <c r="G45" s="57" t="s">
        <v>107</v>
      </c>
      <c r="H45" s="62">
        <v>25</v>
      </c>
      <c r="I45" s="63">
        <f>25*5.6</f>
        <v>140</v>
      </c>
      <c r="J45" s="101">
        <f t="shared" si="31"/>
        <v>5.6</v>
      </c>
      <c r="K45" s="102">
        <f t="shared" si="1"/>
        <v>-9.0816819368300883E-2</v>
      </c>
      <c r="L45" s="106"/>
      <c r="M45" s="67"/>
      <c r="N45" s="68"/>
      <c r="O45" s="95"/>
      <c r="P45" s="70"/>
      <c r="Q45" s="66"/>
      <c r="R45" s="67"/>
      <c r="S45" s="68"/>
      <c r="T45" s="69"/>
      <c r="U45" s="70"/>
    </row>
    <row r="46" spans="1:21" x14ac:dyDescent="0.2">
      <c r="K46" s="100"/>
    </row>
  </sheetData>
  <printOptions horizontalCentered="1" verticalCentered="1"/>
  <pageMargins left="0" right="0" top="0.75" bottom="0.75" header="0.3" footer="0.3"/>
  <pageSetup paperSize="17" orientation="landscape" r:id="rId1"/>
  <headerFooter>
    <oddHeader>&amp;CNYSPSP COMPARABLE PRICING ANALYSIS FOR DRUG TEST KITS</oddHeader>
    <oddFooter>&amp;LNOVEMBER 26, 2013&amp;RPage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8"/>
  <sheetViews>
    <sheetView topLeftCell="A4" workbookViewId="0">
      <selection activeCell="E11" sqref="E11:F19"/>
    </sheetView>
  </sheetViews>
  <sheetFormatPr baseColWidth="10" defaultColWidth="8.83203125" defaultRowHeight="15" x14ac:dyDescent="0.2"/>
  <sheetData>
    <row r="1" spans="1:7" ht="49" thickBot="1" x14ac:dyDescent="0.25">
      <c r="A1" s="26" t="s">
        <v>180</v>
      </c>
      <c r="B1" s="27" t="s">
        <v>181</v>
      </c>
      <c r="C1" s="28" t="s">
        <v>182</v>
      </c>
      <c r="D1" s="27" t="s">
        <v>183</v>
      </c>
      <c r="E1" s="29" t="s">
        <v>184</v>
      </c>
      <c r="F1" s="30" t="s">
        <v>185</v>
      </c>
      <c r="G1" s="1"/>
    </row>
    <row r="2" spans="1:7" x14ac:dyDescent="0.2">
      <c r="A2" s="31">
        <v>150.30000000000001</v>
      </c>
      <c r="B2" s="32" t="s">
        <v>186</v>
      </c>
      <c r="C2" s="33">
        <v>25</v>
      </c>
      <c r="D2" s="32" t="s">
        <v>187</v>
      </c>
      <c r="E2" s="34">
        <v>29.174573479930196</v>
      </c>
      <c r="F2" s="35">
        <v>1.1669829391972077</v>
      </c>
      <c r="G2" s="1"/>
    </row>
    <row r="3" spans="1:7" x14ac:dyDescent="0.2">
      <c r="A3" s="36">
        <v>150.4</v>
      </c>
      <c r="B3" s="37" t="s">
        <v>188</v>
      </c>
      <c r="C3" s="38">
        <v>25</v>
      </c>
      <c r="D3" s="37" t="s">
        <v>187</v>
      </c>
      <c r="E3" s="39">
        <v>35.457295993019194</v>
      </c>
      <c r="F3" s="40">
        <v>1.4182918397207678</v>
      </c>
      <c r="G3" s="1"/>
    </row>
    <row r="4" spans="1:7" x14ac:dyDescent="0.2">
      <c r="A4" s="36">
        <v>150.5</v>
      </c>
      <c r="B4" s="37" t="s">
        <v>189</v>
      </c>
      <c r="C4" s="38">
        <v>25</v>
      </c>
      <c r="D4" s="37" t="s">
        <v>187</v>
      </c>
      <c r="E4" s="39">
        <v>41.740018506108207</v>
      </c>
      <c r="F4" s="40">
        <v>1.6696007402443283</v>
      </c>
      <c r="G4" s="1"/>
    </row>
    <row r="5" spans="1:7" x14ac:dyDescent="0.2">
      <c r="A5" s="36" t="s">
        <v>14</v>
      </c>
      <c r="B5" s="37" t="s">
        <v>190</v>
      </c>
      <c r="C5" s="38">
        <v>25</v>
      </c>
      <c r="D5" s="37" t="s">
        <v>187</v>
      </c>
      <c r="E5" s="39">
        <v>48.022741019197213</v>
      </c>
      <c r="F5" s="40">
        <v>1.9209096407678885</v>
      </c>
      <c r="G5" s="1"/>
    </row>
    <row r="6" spans="1:7" x14ac:dyDescent="0.2">
      <c r="A6" s="36">
        <v>150.6</v>
      </c>
      <c r="B6" s="37" t="s">
        <v>191</v>
      </c>
      <c r="C6" s="38">
        <v>25</v>
      </c>
      <c r="D6" s="37" t="s">
        <v>187</v>
      </c>
      <c r="E6" s="39">
        <v>48.022741019197213</v>
      </c>
      <c r="F6" s="40">
        <v>1.9209096407678885</v>
      </c>
      <c r="G6" s="1"/>
    </row>
    <row r="7" spans="1:7" x14ac:dyDescent="0.2">
      <c r="A7" s="36" t="s">
        <v>17</v>
      </c>
      <c r="B7" s="37" t="s">
        <v>192</v>
      </c>
      <c r="C7" s="38">
        <v>25</v>
      </c>
      <c r="D7" s="37" t="s">
        <v>187</v>
      </c>
      <c r="E7" s="39">
        <v>54.829023741710301</v>
      </c>
      <c r="F7" s="40">
        <v>2.1931609496684121</v>
      </c>
      <c r="G7" s="1"/>
    </row>
    <row r="8" spans="1:7" x14ac:dyDescent="0.2">
      <c r="A8" s="36">
        <v>150.69999999999999</v>
      </c>
      <c r="B8" s="37" t="s">
        <v>193</v>
      </c>
      <c r="C8" s="38">
        <v>25</v>
      </c>
      <c r="D8" s="37" t="s">
        <v>187</v>
      </c>
      <c r="E8" s="39">
        <v>54.829023741710301</v>
      </c>
      <c r="F8" s="40">
        <v>2.1931609496684121</v>
      </c>
      <c r="G8" s="1"/>
    </row>
    <row r="9" spans="1:7" x14ac:dyDescent="0.2">
      <c r="A9" s="36" t="s">
        <v>27</v>
      </c>
      <c r="B9" s="37" t="s">
        <v>194</v>
      </c>
      <c r="C9" s="38">
        <v>25</v>
      </c>
      <c r="D9" s="37" t="s">
        <v>187</v>
      </c>
      <c r="E9" s="39">
        <v>60.849966150087269</v>
      </c>
      <c r="F9" s="40">
        <v>2.4339986460034906</v>
      </c>
      <c r="G9" s="1"/>
    </row>
    <row r="10" spans="1:7" x14ac:dyDescent="0.2">
      <c r="A10" s="36">
        <v>150.80000000000001</v>
      </c>
      <c r="B10" s="37" t="s">
        <v>195</v>
      </c>
      <c r="C10" s="38">
        <v>25</v>
      </c>
      <c r="D10" s="37" t="s">
        <v>187</v>
      </c>
      <c r="E10" s="39">
        <v>60.849966150087269</v>
      </c>
      <c r="F10" s="40">
        <v>2.4339986460034906</v>
      </c>
      <c r="G10" s="1"/>
    </row>
    <row r="11" spans="1:7" x14ac:dyDescent="0.2">
      <c r="A11" s="36" t="s">
        <v>32</v>
      </c>
      <c r="B11" s="37" t="s">
        <v>196</v>
      </c>
      <c r="C11" s="38">
        <v>25</v>
      </c>
      <c r="D11" s="37" t="s">
        <v>187</v>
      </c>
      <c r="E11" s="39">
        <v>67.394468767888327</v>
      </c>
      <c r="F11" s="40">
        <v>2.6957787507155331</v>
      </c>
      <c r="G11" s="1"/>
    </row>
    <row r="12" spans="1:7" x14ac:dyDescent="0.2">
      <c r="A12" s="36">
        <v>150.9</v>
      </c>
      <c r="B12" s="37" t="s">
        <v>197</v>
      </c>
      <c r="C12" s="38">
        <v>25</v>
      </c>
      <c r="D12" s="37" t="s">
        <v>187</v>
      </c>
      <c r="E12" s="39">
        <v>67.394468767888327</v>
      </c>
      <c r="F12" s="40">
        <v>2.6957787507155331</v>
      </c>
      <c r="G12" s="1"/>
    </row>
    <row r="13" spans="1:7" x14ac:dyDescent="0.2">
      <c r="A13" s="36" t="s">
        <v>37</v>
      </c>
      <c r="B13" s="37" t="s">
        <v>198</v>
      </c>
      <c r="C13" s="38">
        <v>25</v>
      </c>
      <c r="D13" s="37" t="s">
        <v>187</v>
      </c>
      <c r="E13" s="39">
        <v>73.677191280977311</v>
      </c>
      <c r="F13" s="40">
        <v>2.9470876512390927</v>
      </c>
      <c r="G13" s="1"/>
    </row>
    <row r="14" spans="1:7" x14ac:dyDescent="0.2">
      <c r="A14" s="36" t="s">
        <v>44</v>
      </c>
      <c r="B14" s="37" t="s">
        <v>199</v>
      </c>
      <c r="C14" s="38">
        <v>25</v>
      </c>
      <c r="D14" s="37" t="s">
        <v>187</v>
      </c>
      <c r="E14" s="39">
        <v>73.677191280977311</v>
      </c>
      <c r="F14" s="40">
        <v>2.9470876512390927</v>
      </c>
      <c r="G14" s="1"/>
    </row>
    <row r="15" spans="1:7" x14ac:dyDescent="0.2">
      <c r="A15" s="36" t="s">
        <v>42</v>
      </c>
      <c r="B15" s="37" t="s">
        <v>200</v>
      </c>
      <c r="C15" s="38">
        <v>25</v>
      </c>
      <c r="D15" s="37" t="s">
        <v>187</v>
      </c>
      <c r="E15" s="39">
        <v>79.959913794066324</v>
      </c>
      <c r="F15" s="40">
        <v>3.1983965517626531</v>
      </c>
      <c r="G15" s="1"/>
    </row>
    <row r="16" spans="1:7" x14ac:dyDescent="0.2">
      <c r="A16" s="36">
        <v>150.11000000000001</v>
      </c>
      <c r="B16" s="37" t="s">
        <v>201</v>
      </c>
      <c r="C16" s="38">
        <v>25</v>
      </c>
      <c r="D16" s="37" t="s">
        <v>187</v>
      </c>
      <c r="E16" s="39">
        <v>79.959913794066324</v>
      </c>
      <c r="F16" s="40">
        <v>3.1983965517626531</v>
      </c>
      <c r="G16" s="1"/>
    </row>
    <row r="17" spans="1:7" x14ac:dyDescent="0.2">
      <c r="A17" s="36" t="s">
        <v>48</v>
      </c>
      <c r="B17" s="37" t="s">
        <v>202</v>
      </c>
      <c r="C17" s="38">
        <v>25</v>
      </c>
      <c r="D17" s="37" t="s">
        <v>187</v>
      </c>
      <c r="E17" s="39">
        <v>93.572479239092502</v>
      </c>
      <c r="F17" s="40">
        <v>3.7428991695636999</v>
      </c>
      <c r="G17" s="1"/>
    </row>
    <row r="18" spans="1:7" x14ac:dyDescent="0.2">
      <c r="A18" s="36">
        <v>150.12</v>
      </c>
      <c r="B18" s="37" t="s">
        <v>203</v>
      </c>
      <c r="C18" s="38">
        <v>25</v>
      </c>
      <c r="D18" s="37" t="s">
        <v>187</v>
      </c>
      <c r="E18" s="39">
        <v>93.572479239092502</v>
      </c>
      <c r="F18" s="40">
        <v>3.7428991695636999</v>
      </c>
      <c r="G18" s="1"/>
    </row>
    <row r="19" spans="1:7" ht="16" thickBot="1" x14ac:dyDescent="0.25">
      <c r="A19" s="41" t="s">
        <v>55</v>
      </c>
      <c r="B19" s="42" t="s">
        <v>204</v>
      </c>
      <c r="C19" s="43">
        <v>25</v>
      </c>
      <c r="D19" s="42" t="s">
        <v>187</v>
      </c>
      <c r="E19" s="44">
        <v>108.28452112390924</v>
      </c>
      <c r="F19" s="45">
        <v>4.33138084495637</v>
      </c>
      <c r="G19" s="1"/>
    </row>
    <row r="20" spans="1:7" x14ac:dyDescent="0.2">
      <c r="A20" s="31">
        <v>151.30000000000001</v>
      </c>
      <c r="B20" s="32" t="s">
        <v>205</v>
      </c>
      <c r="C20" s="33">
        <v>25</v>
      </c>
      <c r="D20" s="32" t="s">
        <v>187</v>
      </c>
      <c r="E20" s="34">
        <v>56.85583675592121</v>
      </c>
      <c r="F20" s="35">
        <v>2.2742334702368483</v>
      </c>
      <c r="G20" s="1"/>
    </row>
    <row r="21" spans="1:7" x14ac:dyDescent="0.2">
      <c r="A21" s="46" t="s">
        <v>131</v>
      </c>
      <c r="B21" s="47" t="s">
        <v>206</v>
      </c>
      <c r="C21" s="48">
        <v>25</v>
      </c>
      <c r="D21" s="47" t="s">
        <v>187</v>
      </c>
      <c r="E21" s="39">
        <v>68.758978117177762</v>
      </c>
      <c r="F21" s="40">
        <v>2.7503591246871104</v>
      </c>
      <c r="G21" s="1"/>
    </row>
    <row r="22" spans="1:7" x14ac:dyDescent="0.2">
      <c r="A22" s="46">
        <v>151.4</v>
      </c>
      <c r="B22" s="47" t="s">
        <v>207</v>
      </c>
      <c r="C22" s="48">
        <v>25</v>
      </c>
      <c r="D22" s="47" t="s">
        <v>187</v>
      </c>
      <c r="E22" s="39">
        <v>68.758978117177762</v>
      </c>
      <c r="F22" s="40">
        <v>2.7503591246871104</v>
      </c>
      <c r="G22" s="1"/>
    </row>
    <row r="23" spans="1:7" x14ac:dyDescent="0.2">
      <c r="A23" s="36" t="s">
        <v>130</v>
      </c>
      <c r="B23" s="37" t="s">
        <v>208</v>
      </c>
      <c r="C23" s="38">
        <v>25</v>
      </c>
      <c r="D23" s="37" t="s">
        <v>187</v>
      </c>
      <c r="E23" s="39">
        <v>71.515522619795561</v>
      </c>
      <c r="F23" s="40">
        <v>2.8606209047918223</v>
      </c>
      <c r="G23" s="1"/>
    </row>
    <row r="24" spans="1:7" x14ac:dyDescent="0.2">
      <c r="A24" s="36">
        <v>151.5</v>
      </c>
      <c r="B24" s="37" t="s">
        <v>209</v>
      </c>
      <c r="C24" s="38">
        <v>25</v>
      </c>
      <c r="D24" s="37" t="s">
        <v>187</v>
      </c>
      <c r="E24" s="39">
        <v>71.515522619795561</v>
      </c>
      <c r="F24" s="40">
        <v>2.8606209047918223</v>
      </c>
      <c r="G24" s="1"/>
    </row>
    <row r="25" spans="1:7" x14ac:dyDescent="0.2">
      <c r="A25" s="36" t="s">
        <v>75</v>
      </c>
      <c r="B25" s="37" t="s">
        <v>210</v>
      </c>
      <c r="C25" s="38">
        <v>25</v>
      </c>
      <c r="D25" s="37" t="s">
        <v>187</v>
      </c>
      <c r="E25" s="39">
        <v>75.834894347544264</v>
      </c>
      <c r="F25" s="40">
        <v>3.0333957739017707</v>
      </c>
      <c r="G25" s="1"/>
    </row>
    <row r="26" spans="1:7" x14ac:dyDescent="0.2">
      <c r="A26" s="36">
        <v>151.6</v>
      </c>
      <c r="B26" s="37" t="s">
        <v>211</v>
      </c>
      <c r="C26" s="38">
        <v>25</v>
      </c>
      <c r="D26" s="37" t="s">
        <v>187</v>
      </c>
      <c r="E26" s="39">
        <v>75.834894347544264</v>
      </c>
      <c r="F26" s="40">
        <v>3.0333957739017707</v>
      </c>
      <c r="G26" s="1"/>
    </row>
    <row r="27" spans="1:7" x14ac:dyDescent="0.2">
      <c r="A27" s="36" t="s">
        <v>76</v>
      </c>
      <c r="B27" s="37" t="s">
        <v>212</v>
      </c>
      <c r="C27" s="38">
        <v>25</v>
      </c>
      <c r="D27" s="37" t="s">
        <v>187</v>
      </c>
      <c r="E27" s="39">
        <v>80.154266075292952</v>
      </c>
      <c r="F27" s="40">
        <v>3.2061706430117183</v>
      </c>
      <c r="G27" s="1"/>
    </row>
    <row r="28" spans="1:7" x14ac:dyDescent="0.2">
      <c r="A28" s="36">
        <v>151.69999999999999</v>
      </c>
      <c r="B28" s="37" t="s">
        <v>213</v>
      </c>
      <c r="C28" s="38">
        <v>25</v>
      </c>
      <c r="D28" s="37" t="s">
        <v>187</v>
      </c>
      <c r="E28" s="39">
        <v>80.154266075292952</v>
      </c>
      <c r="F28" s="40">
        <v>3.2061706430117183</v>
      </c>
      <c r="G28" s="1"/>
    </row>
    <row r="29" spans="1:7" x14ac:dyDescent="0.2">
      <c r="A29" s="36" t="s">
        <v>77</v>
      </c>
      <c r="B29" s="37" t="s">
        <v>214</v>
      </c>
      <c r="C29" s="38">
        <v>25</v>
      </c>
      <c r="D29" s="37" t="s">
        <v>187</v>
      </c>
      <c r="E29" s="39">
        <v>87.353218954874094</v>
      </c>
      <c r="F29" s="40">
        <v>3.4941287581949636</v>
      </c>
      <c r="G29" s="1"/>
    </row>
    <row r="30" spans="1:7" x14ac:dyDescent="0.2">
      <c r="A30" s="36">
        <v>151.80000000000001</v>
      </c>
      <c r="B30" s="37" t="s">
        <v>215</v>
      </c>
      <c r="C30" s="38">
        <v>25</v>
      </c>
      <c r="D30" s="37" t="s">
        <v>187</v>
      </c>
      <c r="E30" s="39">
        <v>87.353218954874094</v>
      </c>
      <c r="F30" s="40">
        <v>3.4941287581949636</v>
      </c>
      <c r="G30" s="1"/>
    </row>
    <row r="31" spans="1:7" x14ac:dyDescent="0.2">
      <c r="A31" s="36" t="s">
        <v>78</v>
      </c>
      <c r="B31" s="37" t="s">
        <v>216</v>
      </c>
      <c r="C31" s="38">
        <v>25</v>
      </c>
      <c r="D31" s="37" t="s">
        <v>187</v>
      </c>
      <c r="E31" s="39">
        <v>91.672590682622797</v>
      </c>
      <c r="F31" s="40">
        <v>3.666903627304912</v>
      </c>
      <c r="G31" s="1"/>
    </row>
    <row r="32" spans="1:7" x14ac:dyDescent="0.2">
      <c r="A32" s="36">
        <v>151.9</v>
      </c>
      <c r="B32" s="37" t="s">
        <v>217</v>
      </c>
      <c r="C32" s="38">
        <v>25</v>
      </c>
      <c r="D32" s="37" t="s">
        <v>187</v>
      </c>
      <c r="E32" s="39">
        <v>91.672590682622797</v>
      </c>
      <c r="F32" s="40">
        <v>3.666903627304912</v>
      </c>
      <c r="G32" s="1"/>
    </row>
    <row r="33" spans="1:7" x14ac:dyDescent="0.2">
      <c r="A33" s="36" t="s">
        <v>79</v>
      </c>
      <c r="B33" s="37" t="s">
        <v>218</v>
      </c>
      <c r="C33" s="38">
        <v>25</v>
      </c>
      <c r="D33" s="37" t="s">
        <v>187</v>
      </c>
      <c r="E33" s="39">
        <v>95.991962410371485</v>
      </c>
      <c r="F33" s="40">
        <v>3.8396784964148596</v>
      </c>
      <c r="G33" s="1"/>
    </row>
    <row r="34" spans="1:7" x14ac:dyDescent="0.2">
      <c r="A34" s="36" t="s">
        <v>80</v>
      </c>
      <c r="B34" s="37" t="s">
        <v>219</v>
      </c>
      <c r="C34" s="38">
        <v>25</v>
      </c>
      <c r="D34" s="37" t="s">
        <v>187</v>
      </c>
      <c r="E34" s="39">
        <v>95.991962410371485</v>
      </c>
      <c r="F34" s="40">
        <v>3.8396784964148596</v>
      </c>
      <c r="G34" s="1"/>
    </row>
    <row r="35" spans="1:7" x14ac:dyDescent="0.2">
      <c r="A35" s="36" t="s">
        <v>81</v>
      </c>
      <c r="B35" s="37" t="s">
        <v>220</v>
      </c>
      <c r="C35" s="38">
        <v>25</v>
      </c>
      <c r="D35" s="37" t="s">
        <v>187</v>
      </c>
      <c r="E35" s="39">
        <v>100.31133413812017</v>
      </c>
      <c r="F35" s="40">
        <v>4.0124533655248067</v>
      </c>
      <c r="G35" s="1"/>
    </row>
    <row r="36" spans="1:7" x14ac:dyDescent="0.2">
      <c r="A36" s="46">
        <v>151.11000000000001</v>
      </c>
      <c r="B36" s="47" t="s">
        <v>221</v>
      </c>
      <c r="C36" s="48">
        <v>25</v>
      </c>
      <c r="D36" s="47" t="s">
        <v>187</v>
      </c>
      <c r="E36" s="39">
        <v>114.30871633707304</v>
      </c>
      <c r="F36" s="40">
        <v>4.5723486534829219</v>
      </c>
      <c r="G36" s="1"/>
    </row>
    <row r="37" spans="1:7" x14ac:dyDescent="0.2">
      <c r="A37" s="46" t="s">
        <v>82</v>
      </c>
      <c r="B37" s="47" t="s">
        <v>222</v>
      </c>
      <c r="C37" s="48">
        <v>25</v>
      </c>
      <c r="D37" s="47" t="s">
        <v>187</v>
      </c>
      <c r="E37" s="39">
        <v>121.11499905958615</v>
      </c>
      <c r="F37" s="40">
        <v>4.8445999623834464</v>
      </c>
      <c r="G37" s="1"/>
    </row>
    <row r="38" spans="1:7" ht="16" thickBot="1" x14ac:dyDescent="0.25">
      <c r="A38" s="49">
        <v>151.12</v>
      </c>
      <c r="B38" s="50" t="s">
        <v>223</v>
      </c>
      <c r="C38" s="51">
        <v>25</v>
      </c>
      <c r="D38" s="50" t="s">
        <v>187</v>
      </c>
      <c r="E38" s="44">
        <v>119.80609853602591</v>
      </c>
      <c r="F38" s="45">
        <v>4.7922439414410363</v>
      </c>
      <c r="G38" s="1"/>
    </row>
    <row r="39" spans="1:7" x14ac:dyDescent="0.2">
      <c r="A39" s="52">
        <v>153.4</v>
      </c>
      <c r="B39" s="53" t="s">
        <v>224</v>
      </c>
      <c r="C39" s="54">
        <v>25</v>
      </c>
      <c r="D39" s="53" t="s">
        <v>187</v>
      </c>
      <c r="E39" s="34">
        <v>114.19379487110447</v>
      </c>
      <c r="F39" s="35">
        <v>4.5677517948441793</v>
      </c>
      <c r="G39" s="1"/>
    </row>
    <row r="40" spans="1:7" x14ac:dyDescent="0.2">
      <c r="A40" s="46">
        <v>153.5</v>
      </c>
      <c r="B40" s="47" t="s">
        <v>225</v>
      </c>
      <c r="C40" s="48">
        <v>25</v>
      </c>
      <c r="D40" s="47" t="s">
        <v>187</v>
      </c>
      <c r="E40" s="39">
        <v>118.12049644178509</v>
      </c>
      <c r="F40" s="40">
        <v>4.7248198576714033</v>
      </c>
      <c r="G40" s="1"/>
    </row>
    <row r="41" spans="1:7" x14ac:dyDescent="0.2">
      <c r="A41" s="36">
        <v>153.6</v>
      </c>
      <c r="B41" s="37" t="s">
        <v>226</v>
      </c>
      <c r="C41" s="38">
        <v>25</v>
      </c>
      <c r="D41" s="37" t="s">
        <v>187</v>
      </c>
      <c r="E41" s="39">
        <v>125.1919624103715</v>
      </c>
      <c r="F41" s="40">
        <v>5.0076784964148597</v>
      </c>
      <c r="G41" s="1"/>
    </row>
    <row r="42" spans="1:7" x14ac:dyDescent="0.2">
      <c r="A42" s="46" t="s">
        <v>227</v>
      </c>
      <c r="B42" s="47" t="s">
        <v>228</v>
      </c>
      <c r="C42" s="48">
        <v>25</v>
      </c>
      <c r="D42" s="47" t="s">
        <v>187</v>
      </c>
      <c r="E42" s="39">
        <v>134.87442314335578</v>
      </c>
      <c r="F42" s="40">
        <v>5.3949769257342313</v>
      </c>
      <c r="G42" s="1"/>
    </row>
    <row r="43" spans="1:7" x14ac:dyDescent="0.2">
      <c r="A43" s="46">
        <v>153.80000000000001</v>
      </c>
      <c r="B43" s="47" t="s">
        <v>229</v>
      </c>
      <c r="C43" s="48">
        <v>25</v>
      </c>
      <c r="D43" s="47" t="s">
        <v>187</v>
      </c>
      <c r="E43" s="39">
        <v>140.37180534230868</v>
      </c>
      <c r="F43" s="40">
        <v>5.6148722136923475</v>
      </c>
      <c r="G43" s="1"/>
    </row>
    <row r="44" spans="1:7" x14ac:dyDescent="0.2">
      <c r="A44" s="46" t="s">
        <v>230</v>
      </c>
      <c r="B44" s="47" t="s">
        <v>231</v>
      </c>
      <c r="C44" s="48">
        <v>25</v>
      </c>
      <c r="D44" s="47" t="s">
        <v>187</v>
      </c>
      <c r="E44" s="39">
        <v>155.81683152031914</v>
      </c>
      <c r="F44" s="40">
        <v>6.2326732608127653</v>
      </c>
      <c r="G44" s="1"/>
    </row>
    <row r="45" spans="1:7" ht="16" thickBot="1" x14ac:dyDescent="0.25">
      <c r="A45" s="49" t="s">
        <v>84</v>
      </c>
      <c r="B45" s="50" t="s">
        <v>232</v>
      </c>
      <c r="C45" s="51">
        <v>25</v>
      </c>
      <c r="D45" s="50" t="s">
        <v>187</v>
      </c>
      <c r="E45" s="44">
        <v>153.98437078733485</v>
      </c>
      <c r="F45" s="45">
        <v>6.1593748314933938</v>
      </c>
      <c r="G45" s="1"/>
    </row>
    <row r="46" spans="1:7" x14ac:dyDescent="0.2">
      <c r="A46" s="1"/>
      <c r="B46" s="1"/>
      <c r="C46" s="2"/>
      <c r="D46" s="1"/>
      <c r="E46" s="55"/>
      <c r="F46" s="55"/>
      <c r="G46" s="1"/>
    </row>
    <row r="47" spans="1:7" x14ac:dyDescent="0.2">
      <c r="A47" s="1"/>
      <c r="B47" s="1"/>
      <c r="C47" s="2"/>
      <c r="D47" s="1"/>
      <c r="E47" s="55"/>
      <c r="F47" s="55"/>
      <c r="G47" s="1"/>
    </row>
    <row r="48" spans="1:7" x14ac:dyDescent="0.2">
      <c r="A48" s="1"/>
      <c r="B48" s="1"/>
      <c r="C48" s="2"/>
      <c r="D48" s="1"/>
      <c r="E48" s="55"/>
      <c r="F48" s="55"/>
      <c r="G4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Manager>OGS Digital Communications</Manager>
  <Company>New York State - Office of General Services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 Procurement Council, November 26, 2013 Price Comparision NYSPSP Drug Test Kits</dc:title>
  <dc:subject>NYS Procurement Council, November 26, 2013 Price Comparision NYSPSP Drug Test Kits</dc:subject>
  <dc:creator>BetterJ</dc:creator>
  <cp:keywords>NYS Procurement Council, November 26, 2013 Price Comparision NYSPSP Drug Test Kits</cp:keywords>
  <dc:description/>
  <cp:lastModifiedBy>Microsoft Office User</cp:lastModifiedBy>
  <cp:lastPrinted>2013-11-19T18:25:04Z</cp:lastPrinted>
  <dcterms:created xsi:type="dcterms:W3CDTF">2013-10-15T13:00:41Z</dcterms:created>
  <dcterms:modified xsi:type="dcterms:W3CDTF">2019-02-04T21:03:08Z</dcterms:modified>
  <cp:category/>
</cp:coreProperties>
</file>